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C:\Users\HansLandon-Lane\Downloads\"/>
    </mc:Choice>
  </mc:AlternateContent>
  <xr:revisionPtr revIDLastSave="0" documentId="13_ncr:1_{3B774678-3971-4EE0-B5BF-46EA21932219}" xr6:coauthVersionLast="47" xr6:coauthVersionMax="47" xr10:uidLastSave="{00000000-0000-0000-0000-000000000000}"/>
  <bookViews>
    <workbookView xWindow="-120" yWindow="-120" windowWidth="29040" windowHeight="15840" tabRatio="538" xr2:uid="{49BD0C99-C280-4159-930B-E0796A81B7CD}"/>
  </bookViews>
  <sheets>
    <sheet name="Information" sheetId="2" r:id="rId1"/>
    <sheet name="Emissions data" sheetId="6" r:id="rId2"/>
    <sheet name="NDC1" sheetId="7" r:id="rId3"/>
    <sheet name="NDC2 presentation" sheetId="9" r:id="rId4"/>
    <sheet name="Domestic Emissions Budgets" sheetId="10" r:id="rId5"/>
  </sheets>
  <definedNames>
    <definedName name="Gross_1990_updated">'Emissions data'!$B$7</definedName>
    <definedName name="Gross_2005_updated">'Emissions data'!$B$22</definedName>
    <definedName name="Net_2005_updated">'Emissions data'!$C$22</definedName>
    <definedName name="Net_2020_accounting">'Emissions data'!$C$37</definedName>
    <definedName name="Net_2020_accounting_EB4Demo">'Emissions data'!$I$37</definedName>
    <definedName name="Net_2020_accounting_HTHS">'Emissions data'!$O$37</definedName>
    <definedName name="Net_2020_accounting_LTLS">'Emissions data'!$L$37</definedName>
    <definedName name="Net_2030_accounting_EB4Demo">'Emissions data'!$I$47</definedName>
    <definedName name="Net_2030_accounting_HTHS">'Emissions data'!$O$47</definedName>
    <definedName name="Net_2030_accounting_LTLS">'Emissions data'!$L$47</definedName>
    <definedName name="Net_2035_accounting_EB4Demo">'Emissions data'!$I$52</definedName>
    <definedName name="Net_2035_accounting_HTHS">'Emissions data'!$O$52</definedName>
    <definedName name="Net_2035_accounting_LTLS">'Emissions data'!$L$52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2" i="9" l="1"/>
  <c r="N32" i="9"/>
  <c r="M32" i="9"/>
  <c r="J32" i="9"/>
  <c r="I32" i="9"/>
  <c r="H32" i="9"/>
  <c r="J41" i="9"/>
  <c r="I41" i="9"/>
  <c r="H41" i="9"/>
  <c r="J50" i="9"/>
  <c r="I50" i="9"/>
  <c r="H50" i="9"/>
  <c r="E50" i="9"/>
  <c r="D50" i="9"/>
  <c r="C50" i="9"/>
  <c r="E41" i="9"/>
  <c r="D41" i="9"/>
  <c r="C41" i="9"/>
  <c r="E32" i="9"/>
  <c r="D32" i="9"/>
  <c r="C32" i="9"/>
  <c r="E15" i="7"/>
  <c r="B16" i="7"/>
  <c r="B15" i="7"/>
  <c r="B5" i="10" l="1"/>
  <c r="F5" i="10"/>
  <c r="E4" i="10"/>
  <c r="D5" i="10" l="1" a="1"/>
  <c r="D5" i="10" s="1"/>
  <c r="D4" i="10" a="1"/>
  <c r="D4" i="10" s="1"/>
  <c r="C5" i="10" a="1"/>
  <c r="C5" i="10" s="1"/>
  <c r="C4" i="10" a="1"/>
  <c r="C4" i="10" s="1"/>
  <c r="B4" i="10"/>
  <c r="C14" i="9"/>
  <c r="F14" i="7"/>
  <c r="J31" i="9" s="1"/>
  <c r="H7" i="9" s="1"/>
  <c r="D14" i="7"/>
  <c r="C31" i="9" s="1"/>
  <c r="F11" i="9" s="1"/>
  <c r="B14" i="7"/>
  <c r="C8" i="9"/>
  <c r="C16" i="9"/>
  <c r="C12" i="9"/>
  <c r="C11" i="9"/>
  <c r="C7" i="9"/>
  <c r="B4" i="7"/>
  <c r="B6" i="7" s="1"/>
  <c r="D86" i="9"/>
  <c r="D95" i="9" s="1"/>
  <c r="B7" i="7"/>
  <c r="F21" i="7" s="1"/>
  <c r="D23" i="9"/>
  <c r="N33" i="9" s="1"/>
  <c r="C23" i="9"/>
  <c r="C33" i="9" s="1"/>
  <c r="E23" i="9"/>
  <c r="E33" i="9" s="1"/>
  <c r="D24" i="9"/>
  <c r="N31" i="9" s="1"/>
  <c r="P7" i="9" s="1"/>
  <c r="C24" i="9"/>
  <c r="M31" i="9" s="1"/>
  <c r="O7" i="9" s="1"/>
  <c r="E24" i="9"/>
  <c r="O31" i="9" s="1"/>
  <c r="Q7" i="9" s="1"/>
  <c r="D92" i="9" l="1"/>
  <c r="H31" i="9"/>
  <c r="F7" i="9" s="1"/>
  <c r="I31" i="9"/>
  <c r="G7" i="9" s="1"/>
  <c r="E31" i="9"/>
  <c r="H11" i="9" s="1"/>
  <c r="D31" i="9"/>
  <c r="G11" i="9" s="1"/>
  <c r="D94" i="9"/>
  <c r="D91" i="9"/>
  <c r="D90" i="9"/>
  <c r="D88" i="9"/>
  <c r="D87" i="9"/>
  <c r="D93" i="9"/>
  <c r="D89" i="9"/>
  <c r="N14" i="9"/>
  <c r="P14" i="9"/>
  <c r="H14" i="9"/>
  <c r="K14" i="9"/>
  <c r="O33" i="9"/>
  <c r="I14" i="9"/>
  <c r="Q14" i="9"/>
  <c r="J14" i="9"/>
  <c r="L14" i="9"/>
  <c r="M14" i="9"/>
  <c r="F14" i="9"/>
  <c r="M33" i="9"/>
  <c r="G14" i="9"/>
  <c r="O14" i="9"/>
  <c r="F12" i="9"/>
  <c r="C51" i="9"/>
  <c r="D51" i="9"/>
  <c r="E51" i="9"/>
  <c r="D33" i="9"/>
  <c r="B56" i="9" l="1"/>
  <c r="B61" i="9"/>
  <c r="H12" i="9"/>
  <c r="D97" i="9"/>
  <c r="O8" i="9"/>
  <c r="P8" i="9"/>
  <c r="Q8" i="9"/>
  <c r="G12" i="9" l="1"/>
  <c r="B57" i="9"/>
  <c r="B58" i="9" l="1"/>
  <c r="B59" i="9" s="1"/>
  <c r="B60" i="9" s="1"/>
  <c r="B62" i="9" s="1"/>
  <c r="C62" i="9" s="1"/>
  <c r="C15" i="9" l="1"/>
  <c r="C17" i="9" l="1"/>
  <c r="E10" i="9" l="1"/>
  <c r="D6" i="9"/>
  <c r="C21" i="7" l="1"/>
  <c r="H42" i="9" l="1"/>
  <c r="H33" i="9"/>
  <c r="F8" i="9" s="1"/>
  <c r="H51" i="9"/>
  <c r="C42" i="9"/>
  <c r="E7" i="9"/>
  <c r="D7" i="9"/>
  <c r="D106" i="9" l="1"/>
  <c r="D42" i="9"/>
  <c r="I42" i="9"/>
  <c r="I33" i="9"/>
  <c r="G8" i="9" s="1"/>
  <c r="I51" i="9"/>
  <c r="J42" i="9"/>
  <c r="J33" i="9"/>
  <c r="H8" i="9" s="1"/>
  <c r="J51" i="9"/>
  <c r="E42" i="9"/>
  <c r="I15" i="9"/>
  <c r="F15" i="9"/>
  <c r="E106" i="9" l="1"/>
  <c r="K15" i="9"/>
  <c r="H15" i="9"/>
  <c r="J15" i="9"/>
  <c r="L15" i="9"/>
  <c r="O15" i="9"/>
  <c r="G15" i="9"/>
  <c r="C106" i="9"/>
  <c r="L69" i="6"/>
  <c r="O69" i="6"/>
  <c r="I69" i="6"/>
  <c r="B5" i="7"/>
  <c r="P16" i="9" l="1"/>
  <c r="H16" i="9"/>
  <c r="O16" i="9"/>
  <c r="G16" i="9"/>
  <c r="D15" i="7"/>
  <c r="N16" i="9"/>
  <c r="F16" i="9"/>
  <c r="M16" i="9"/>
  <c r="E16" i="9"/>
  <c r="L16" i="9"/>
  <c r="D16" i="9"/>
  <c r="I16" i="9"/>
  <c r="C96" i="9"/>
  <c r="K16" i="9"/>
  <c r="E96" i="9"/>
  <c r="J16" i="9"/>
  <c r="F16" i="7"/>
  <c r="Q16" i="9"/>
  <c r="M30" i="9"/>
  <c r="O6" i="9" s="1"/>
  <c r="E30" i="9"/>
  <c r="H10" i="9" s="1"/>
  <c r="N30" i="9"/>
  <c r="P6" i="9" s="1"/>
  <c r="O30" i="9"/>
  <c r="Q6" i="9" s="1"/>
  <c r="C30" i="9"/>
  <c r="F10" i="9" s="1"/>
  <c r="D30" i="9"/>
  <c r="G10" i="9" s="1"/>
  <c r="N15" i="9"/>
  <c r="I30" i="9"/>
  <c r="P15" i="9"/>
  <c r="H30" i="9"/>
  <c r="Q15" i="9"/>
  <c r="M15" i="9"/>
  <c r="J30" i="9"/>
  <c r="D17" i="9"/>
  <c r="E17" i="9"/>
  <c r="D107" i="9"/>
  <c r="E107" i="9"/>
  <c r="C107" i="9"/>
  <c r="F31" i="7" l="1"/>
  <c r="D8" i="9"/>
  <c r="J49" i="9"/>
  <c r="I49" i="9"/>
  <c r="H49" i="9"/>
  <c r="E95" i="9"/>
  <c r="B31" i="7"/>
  <c r="D30" i="7" s="1"/>
  <c r="E40" i="9"/>
  <c r="D40" i="9"/>
  <c r="C40" i="9"/>
  <c r="E12" i="9"/>
  <c r="C61" i="9"/>
  <c r="F6" i="9"/>
  <c r="H6" i="9"/>
  <c r="G6" i="9"/>
  <c r="D99" i="9"/>
  <c r="E99" i="9"/>
  <c r="C99" i="9"/>
  <c r="N11" i="9" l="1"/>
  <c r="I7" i="9"/>
  <c r="I8" i="9"/>
  <c r="J7" i="9"/>
  <c r="J8" i="9"/>
  <c r="K7" i="9"/>
  <c r="K8" i="9"/>
  <c r="L11" i="9"/>
  <c r="M11" i="9"/>
  <c r="F22" i="7"/>
  <c r="F26" i="7"/>
  <c r="F29" i="7"/>
  <c r="F27" i="7"/>
  <c r="F28" i="7"/>
  <c r="F23" i="7"/>
  <c r="F25" i="7"/>
  <c r="F30" i="7"/>
  <c r="F24" i="7"/>
  <c r="G31" i="7"/>
  <c r="I48" i="9"/>
  <c r="D102" i="9"/>
  <c r="D100" i="9"/>
  <c r="D101" i="9"/>
  <c r="D103" i="9"/>
  <c r="C103" i="9"/>
  <c r="C101" i="9"/>
  <c r="C102" i="9"/>
  <c r="C100" i="9"/>
  <c r="E101" i="9"/>
  <c r="E102" i="9"/>
  <c r="E103" i="9"/>
  <c r="E100" i="9"/>
  <c r="E21" i="7"/>
  <c r="H48" i="9" l="1"/>
  <c r="I6" i="9" s="1"/>
  <c r="J48" i="9"/>
  <c r="K6" i="9" s="1"/>
  <c r="L12" i="9"/>
  <c r="C39" i="9"/>
  <c r="L10" i="9" s="1"/>
  <c r="M12" i="9"/>
  <c r="D39" i="9"/>
  <c r="M10" i="9" s="1"/>
  <c r="F32" i="7"/>
  <c r="N12" i="9"/>
  <c r="E39" i="9"/>
  <c r="N10" i="9" s="1"/>
  <c r="J6" i="9"/>
  <c r="F15" i="7"/>
  <c r="B21" i="7"/>
  <c r="C105" i="9"/>
  <c r="E105" i="9"/>
  <c r="D105" i="9"/>
  <c r="C86" i="9" l="1"/>
  <c r="E11" i="9"/>
  <c r="D11" i="9"/>
  <c r="C31" i="7"/>
  <c r="J40" i="9"/>
  <c r="E8" i="9"/>
  <c r="I40" i="9"/>
  <c r="H40" i="9"/>
  <c r="E6" i="9"/>
  <c r="E14" i="9"/>
  <c r="N7" i="9" l="1"/>
  <c r="N8" i="9"/>
  <c r="C90" i="9"/>
  <c r="C91" i="9"/>
  <c r="C88" i="9"/>
  <c r="C93" i="9"/>
  <c r="C89" i="9"/>
  <c r="C94" i="9"/>
  <c r="C87" i="9"/>
  <c r="C92" i="9"/>
  <c r="C95" i="9"/>
  <c r="L7" i="9"/>
  <c r="L8" i="9"/>
  <c r="C22" i="7"/>
  <c r="D31" i="7"/>
  <c r="C24" i="7"/>
  <c r="C23" i="7"/>
  <c r="C30" i="7"/>
  <c r="C27" i="7"/>
  <c r="C26" i="7"/>
  <c r="C25" i="7"/>
  <c r="C29" i="7"/>
  <c r="C28" i="7"/>
  <c r="M7" i="9"/>
  <c r="M8" i="9"/>
  <c r="E15" i="9"/>
  <c r="C32" i="7" l="1"/>
  <c r="E94" i="9"/>
  <c r="C97" i="9"/>
  <c r="I39" i="9" l="1"/>
  <c r="H39" i="9"/>
  <c r="L6" i="9" s="1"/>
  <c r="J39" i="9"/>
  <c r="B27" i="7"/>
  <c r="B24" i="7"/>
  <c r="B23" i="7"/>
  <c r="B22" i="7"/>
  <c r="B30" i="7"/>
  <c r="B28" i="7"/>
  <c r="B25" i="7"/>
  <c r="B26" i="7"/>
  <c r="B29" i="7"/>
  <c r="N6" i="9" l="1"/>
  <c r="M6" i="9"/>
  <c r="B32" i="7"/>
  <c r="D32" i="7" s="1"/>
  <c r="D29" i="7" l="1"/>
  <c r="D14" i="9"/>
  <c r="D15" i="9" s="1"/>
  <c r="C16" i="7"/>
  <c r="D10" i="9" s="1"/>
  <c r="D16" i="7" l="1"/>
  <c r="C49" i="9" l="1"/>
  <c r="D49" i="9"/>
  <c r="D12" i="9"/>
  <c r="E31" i="7"/>
  <c r="E49" i="9"/>
  <c r="K11" i="9" l="1"/>
  <c r="J11" i="9"/>
  <c r="E28" i="7"/>
  <c r="E22" i="7"/>
  <c r="E24" i="7"/>
  <c r="E27" i="7"/>
  <c r="E30" i="7"/>
  <c r="E23" i="7"/>
  <c r="E29" i="7"/>
  <c r="E26" i="7"/>
  <c r="E25" i="7"/>
  <c r="G30" i="7"/>
  <c r="I11" i="9"/>
  <c r="E32" i="7" l="1"/>
  <c r="D48" i="9"/>
  <c r="J10" i="9" s="1"/>
  <c r="J12" i="9"/>
  <c r="I12" i="9"/>
  <c r="C48" i="9"/>
  <c r="I10" i="9" s="1"/>
  <c r="E48" i="9"/>
  <c r="K10" i="9" s="1"/>
  <c r="K12" i="9"/>
  <c r="G32" i="7" l="1"/>
  <c r="G29" i="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<sst xmlns="http://schemas.openxmlformats.org/spreadsheetml/2006/main" count="240" uniqueCount="130">
  <si>
    <t xml:space="preserve">General information </t>
  </si>
  <si>
    <t>About</t>
  </si>
  <si>
    <t>Spreadsheet Tabs:</t>
  </si>
  <si>
    <t>Emissions data</t>
  </si>
  <si>
    <t>Source</t>
  </si>
  <si>
    <t>The emissions data tab provides historical and projected emissions to 2050, for different assumptions and reporting/accounting approaches. Years 2022 onwards are projections.</t>
  </si>
  <si>
    <t>All emissions data are expressed as kt carbon dioxide equivalent (CO2-eq), or Mt where stated, using 100-year Global Warming Potentials based on the IPCC's 5th Assessment Report (GWP100 AR5), consistent with how New Zealand is required to report its emissions under the rulebook of the Paris Agreement. Net emissions are based on target accounting for Land-use, land-use change and forestry. Projections aligned with 'inventory accounting' (rather than target accounting) were not available for the 2023 inventory period, and were unable to be provided in this analysis.</t>
  </si>
  <si>
    <t>Historic emissions</t>
  </si>
  <si>
    <t>This provides historical and projected gross and net emissions, based on existing measures. The "Nov 2023 Central projection" is the "with existing measures" (WEM) projection published by MfE each year, separately to the inventory.</t>
  </si>
  <si>
    <t>https://environment.govt.nz/facts-and-science/climate-change/new-zealands-projected-greenhouse-gas-emissions-to-2050/</t>
  </si>
  <si>
    <t>Draft ENZ Reference scenario, EB4 Demonstration Path, Draft LTLS &amp; Draft HTHS Scenarios</t>
  </si>
  <si>
    <t>These timeseries are projected gross, net (and biogenic methane for information) emissions derived from the CCC EB4 ENZ model used during 2024 public consultation on draft advice on the fourth emissions budget. Data are consistent with the 2023 National GHG Inventory. The Draft Demonstration Path, draft LTLS and draft HTHS scenarios represent different scenarios to achieving the 2050 Target.</t>
  </si>
  <si>
    <t>https://www.climatecommission.govt.nz/public/Uploads/EB4/supporting-docs/EB4-03-ENZ-results-for-draft-EB4-advice.zip</t>
  </si>
  <si>
    <t>NDC1</t>
  </si>
  <si>
    <t>The NDC2 tab provides data and calculations used to adjust NDC1 to reflect the 2023 GHG Inventory.</t>
  </si>
  <si>
    <t>Reference emissions at the top of the tab are inputs to the NDC1 calculation:</t>
  </si>
  <si>
    <t>Reference emissions for NDC1 as set in 2021 (Cells C4:C10)</t>
  </si>
  <si>
    <t>https://environment.govt.nz/assets/what-government-is-doing/climate-change/Data-underpinning-NDC-announcement.xlsx</t>
  </si>
  <si>
    <t>All equations used in calculations are explained in Annex 4 of the Report.</t>
  </si>
  <si>
    <t>NDC2 presentation</t>
  </si>
  <si>
    <t>The NDC2 presentation calculates the figures provided in Annex 2 of the Report (Table A3). The different methodologies used are labelled referring to Table A1 in Annex 1 of the Report.</t>
  </si>
  <si>
    <t>Domestic Emissions Budgets</t>
  </si>
  <si>
    <t>This tab provides data for comparing the draft emission scenarios with domestic emissions budgets. Emissions budgets are adjusted for the 2023 inventory, based on the figures provided in the draft advice on the fourth emissions budget (Table 6.3).</t>
  </si>
  <si>
    <t>20240403EB4draftadviceP05V01compressed1.pdf (climatecommission.govt.nz)</t>
  </si>
  <si>
    <t xml:space="preserve">Units = kt CO2-eq </t>
  </si>
  <si>
    <t>GHG gross</t>
  </si>
  <si>
    <t>GHG net</t>
  </si>
  <si>
    <t>Biogenic Methane</t>
  </si>
  <si>
    <t>Historic emissions: MfE, ‘Nov 2023 Central projection'</t>
  </si>
  <si>
    <t>Draft ENZ reference scenario</t>
  </si>
  <si>
    <t>Draft EB4 Demonstration Pathway</t>
  </si>
  <si>
    <t>Draft EB4 LTLS Pathway</t>
  </si>
  <si>
    <t>Draft EB4 HTHS Pathway</t>
  </si>
  <si>
    <t>2031-35 cumulative (Mt CO2-eq)</t>
  </si>
  <si>
    <t>Budgets and target information</t>
  </si>
  <si>
    <t>Reference emissions</t>
  </si>
  <si>
    <t>2023 Inventory</t>
  </si>
  <si>
    <t>2021 Inventory</t>
  </si>
  <si>
    <t>1990 gross emissions (kt CO2-eq)</t>
  </si>
  <si>
    <t>2005 gross emissions (kt CO2-eq)</t>
  </si>
  <si>
    <t>2020 emissions target (95% of gross 1990 emission levels; kt CO2-eq)</t>
  </si>
  <si>
    <t>2020 net emissions, kt CO2-eq)</t>
  </si>
  <si>
    <t>2030 emissions target for NDC1, budget approach, as set in 2021, kt CO2-eq)</t>
  </si>
  <si>
    <t>N/A</t>
  </si>
  <si>
    <t>2030 emissions target for NDC1, point-year approach, as set in 2021, kt CO2-eq)</t>
  </si>
  <si>
    <t>NDC1 emissions budget, as set in 2021, Mt CO2e</t>
  </si>
  <si>
    <t>NDC1 adjustment for 2023 GHG Inventory</t>
  </si>
  <si>
    <t>Budget (Mt CO2e)</t>
  </si>
  <si>
    <t>Budget approach basis (%)</t>
  </si>
  <si>
    <t>End-year emissions (budget approach), Kt CO2e)</t>
  </si>
  <si>
    <t>Point year basis (%)</t>
  </si>
  <si>
    <t>End-year emissions (point year approach)</t>
  </si>
  <si>
    <t>Original NDC1 presentations, as set in 2021</t>
  </si>
  <si>
    <t>Revised NDC1 presentations (keeping 41% fixed)</t>
  </si>
  <si>
    <t>Revised NDC1 presentations (keeping 50% fixed)</t>
  </si>
  <si>
    <t>Validation of formula-adjusted NDC1 figures via alternative manual calculation</t>
  </si>
  <si>
    <t>Keep 41% constant</t>
  </si>
  <si>
    <t>Keep 50% constant</t>
  </si>
  <si>
    <t>NDC1 Period</t>
  </si>
  <si>
    <t>Budget approach</t>
  </si>
  <si>
    <t>Point-yr</t>
  </si>
  <si>
    <t>checks</t>
  </si>
  <si>
    <t>2021-30</t>
  </si>
  <si>
    <t>NDC1 (as set in 2021)</t>
  </si>
  <si>
    <r>
      <t xml:space="preserve">NDC1 Adjusted </t>
    </r>
    <r>
      <rPr>
        <b/>
        <sz val="9"/>
        <color theme="1"/>
        <rFont val="Calibri"/>
        <family val="2"/>
        <scheme val="minor"/>
      </rPr>
      <t>(2023 inventory, hold 50% constant)</t>
    </r>
  </si>
  <si>
    <r>
      <t xml:space="preserve">NDC1 Adjusted </t>
    </r>
    <r>
      <rPr>
        <b/>
        <sz val="9"/>
        <color theme="1"/>
        <rFont val="Calibri"/>
        <family val="2"/>
        <scheme val="minor"/>
      </rPr>
      <t>(2023 inventory, hold 41% constant)</t>
    </r>
  </si>
  <si>
    <t>LTLS</t>
  </si>
  <si>
    <t>EB4 demo</t>
  </si>
  <si>
    <t>HTHS</t>
  </si>
  <si>
    <t>NDC2 starts at NDC1 endpoint, as set in 2021</t>
  </si>
  <si>
    <t>NDC2 starts at NDC1 endpoint (adjusted for 2023 inventory, holding 50% constant)</t>
  </si>
  <si>
    <t>NDC2 starts at NDC1 endpoint (adjusted for 2023 inventory, holding 41% constant)</t>
  </si>
  <si>
    <t>NDC2 start at projected 2030 net emissions per relevant emissions scenario</t>
  </si>
  <si>
    <t>Methodology:
(refer Table A1 in Report)</t>
  </si>
  <si>
    <t>2a</t>
  </si>
  <si>
    <t>2c</t>
  </si>
  <si>
    <t>2b</t>
  </si>
  <si>
    <t>Point year (%)</t>
  </si>
  <si>
    <t>Starting point (ktCO2e)</t>
  </si>
  <si>
    <t>End point (ktCO2e)</t>
  </si>
  <si>
    <t>Methodology:</t>
  </si>
  <si>
    <t>1a</t>
  </si>
  <si>
    <t>1c</t>
  </si>
  <si>
    <t>1b</t>
  </si>
  <si>
    <t>Budget approach (%)</t>
  </si>
  <si>
    <t>Budget (MtCO2e)</t>
  </si>
  <si>
    <t>Annual average emissions budget (MtCO2e)</t>
  </si>
  <si>
    <t>Gross 2005 emissions (ktCO2e)</t>
  </si>
  <si>
    <t>Gross 1990 emissions (ktCO2e)</t>
  </si>
  <si>
    <t>EB4 Demo</t>
  </si>
  <si>
    <t>NDC2 budget per emissions scenarios (Mt CO2-eq)</t>
  </si>
  <si>
    <t>2030 emissions from emission scenarios</t>
  </si>
  <si>
    <t>Methodology references are to Table A1 in the Report. Annex 4 explains equations used.</t>
  </si>
  <si>
    <t>Method 1a</t>
  </si>
  <si>
    <t>Method 2a</t>
  </si>
  <si>
    <t>Method 3</t>
  </si>
  <si>
    <t>Budget approach, starting from NDC1 endpoint as set in 2021</t>
  </si>
  <si>
    <t>Point-year approach, starting from NDC1 endpoint, as set in 2021</t>
  </si>
  <si>
    <t>Point-year approach, starting from projected net 2030 emissions</t>
  </si>
  <si>
    <t>NDC2%</t>
  </si>
  <si>
    <t>2030 starting point</t>
  </si>
  <si>
    <t>2035 target emissions</t>
  </si>
  <si>
    <t>NDC2 budget (Mt CO2-eq)</t>
  </si>
  <si>
    <t>Method 1b</t>
  </si>
  <si>
    <t>Method 2b</t>
  </si>
  <si>
    <t>Budget approach, starting from NDC1 endpoint, adjusted for 2023 inventory, holding 41% constant</t>
  </si>
  <si>
    <t>Point-year approach, starting from NDC1 endpoint, adjusted for 2023 inventory, holding 41% constant</t>
  </si>
  <si>
    <t>Method 1c</t>
  </si>
  <si>
    <t>Method 2c</t>
  </si>
  <si>
    <t>Budget approach, starting from NDC1 endpoint, adjusted for 2023 inventory, holding 50% constant</t>
  </si>
  <si>
    <t>Point-year approach, starting from NDC1 endpoint, adjusted for 2023 inventory, holding 50% constant</t>
  </si>
  <si>
    <t>Validation of formula-based NDC2 calculations via alternative manual calculation for Method 1a, EB4 demo path</t>
  </si>
  <si>
    <t>NDC2 Period</t>
  </si>
  <si>
    <t>Checks</t>
  </si>
  <si>
    <t>2031-35 total</t>
  </si>
  <si>
    <t>Budget</t>
  </si>
  <si>
    <t>check</t>
  </si>
  <si>
    <t>Draft EB4 Demo Pathway</t>
  </si>
  <si>
    <t>Draft LTLS</t>
  </si>
  <si>
    <t>Draft HTHS</t>
  </si>
  <si>
    <t>EB2 (2023 inventory)</t>
  </si>
  <si>
    <t>EB3 (2023 inventory)</t>
  </si>
  <si>
    <t>EB2 (as set in 2022)</t>
  </si>
  <si>
    <t>EB3 (as set in 2022)</t>
  </si>
  <si>
    <t>EB2 Difference due to methodological 2023 changes</t>
  </si>
  <si>
    <t>EB3 Difference due to methodological 2023 changes</t>
  </si>
  <si>
    <t>2026-2030 total</t>
  </si>
  <si>
    <t>2031-2035 total</t>
  </si>
  <si>
    <r>
      <t xml:space="preserve">This workbook calculates figures used in the Climate Change Commission's 2024 </t>
    </r>
    <r>
      <rPr>
        <b/>
        <sz val="11"/>
        <color theme="1"/>
        <rFont val="Calibri"/>
        <family val="2"/>
        <scheme val="minor"/>
      </rPr>
      <t>Report on the potential domestic contribution to Aotearoa New Zealand’s second nationally determined contribution</t>
    </r>
    <r>
      <rPr>
        <sz val="11"/>
        <color theme="1"/>
        <rFont val="Calibri"/>
        <family val="2"/>
        <scheme val="minor"/>
      </rPr>
      <t xml:space="preserve"> (the Report). The calculations adjust NDC1 for the 2023 GHG Inventory and convert draft Commission emission scenarios (from ENZ modelling used in the public consultation released in March 2024 on the fourth emissions budget) into the corresponding NDC2 target value if there were only a domestic contribution.
All equations used in calculations are explained in Annex 4 of the Report.</t>
    </r>
  </si>
  <si>
    <t>The full Report, supporting documents and more information are available on the Commission's website.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</si>
</sst>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_-;\-* #,##0_-;_-* &quot;-&quot;??_-;_-@_-"/>
    <numFmt numFmtId="165" formatCode="#,##0_ ;\-#,##0\ "/>
    <numFmt numFmtId="166" formatCode="0.0"/>
    <numFmt numFmtId="167" formatCode="_-* #,##0.0000_-;\-* #,##0.0000_-;_-* &quot;-&quot;??_-;_-@_-"/>
    <numFmt numFmtId="168" formatCode="0.0%"/>
    <numFmt numFmtId="169" formatCode="_-* #,##0.0_-;\-* #,##0.0_-;_-* &quot;-&quot;??_-;_-@_-"/>
    <numFmt numFmtId="170" formatCode="_(* #,##0_);_(* \(#,##0\);_(* &quot;-&quot;??_);_(@_)"/>
  </numFmts>
  <fonts count="38" x14ac:knownFonts="1">
    <font>
      <sz val="11"/>
      <color theme="1"/>
      <name val="Calibri"/>
      <family val="2"/>
      <scheme val="minor"/>
    </font>
    <font>
      <sz val="11"/>
      <color theme="1"/>
      <name val="Calibri"/>
      <family val="2"/>
      <scheme val="minor"/>
    </font>
    <font>
      <sz val="11"/>
      <color theme="1"/>
      <name val="Calibri"/>
      <family val="2"/>
    </font>
    <font>
      <b/>
      <sz val="11"/>
      <color theme="1"/>
      <name val="Calibri"/>
      <family val="2"/>
      <scheme val="minor"/>
    </font>
    <font>
      <b/>
      <sz val="11"/>
      <color theme="1"/>
      <name val="Calibri"/>
      <family val="2"/>
    </font>
    <font>
      <b/>
      <sz val="14"/>
      <color theme="1"/>
      <name val="Calibri"/>
      <family val="2"/>
      <scheme val="minor"/>
    </font>
    <font>
      <sz val="11"/>
      <color rgb="FFFF0000"/>
      <name val="Calibri"/>
      <family val="2"/>
    </font>
    <font>
      <b/>
      <sz val="11"/>
      <color rgb="FFFF0000"/>
      <name val="Calibri"/>
      <family val="2"/>
    </font>
    <font>
      <b/>
      <sz val="24"/>
      <color theme="1"/>
      <name val="Calibri"/>
      <family val="2"/>
      <scheme val="minor"/>
    </font>
    <font>
      <b/>
      <sz val="24"/>
      <color theme="1"/>
      <name val="Calibri"/>
      <family val="2"/>
    </font>
    <font>
      <b/>
      <sz val="20"/>
      <color theme="1"/>
      <name val="Calibri"/>
      <family val="2"/>
      <scheme val="minor"/>
    </font>
    <font>
      <sz val="11"/>
      <name val="Calibri"/>
      <family val="2"/>
    </font>
    <font>
      <b/>
      <sz val="11"/>
      <name val="Calibri"/>
      <family val="2"/>
    </font>
    <font>
      <sz val="11"/>
      <name val="Calibri"/>
      <family val="2"/>
      <scheme val="minor"/>
    </font>
    <font>
      <b/>
      <sz val="11"/>
      <name val="Calibri"/>
      <family val="2"/>
      <scheme val="minor"/>
    </font>
    <font>
      <b/>
      <strike/>
      <sz val="11"/>
      <color theme="1"/>
      <name val="Calibri"/>
      <family val="2"/>
      <scheme val="minor"/>
    </font>
    <font>
      <strike/>
      <sz val="11"/>
      <name val="Calibri"/>
      <family val="2"/>
      <scheme val="minor"/>
    </font>
    <font>
      <strike/>
      <sz val="11"/>
      <color theme="1"/>
      <name val="Calibri"/>
      <family val="2"/>
      <scheme val="minor"/>
    </font>
    <font>
      <b/>
      <strike/>
      <sz val="11"/>
      <name val="Calibri"/>
      <family val="2"/>
      <scheme val="minor"/>
    </font>
    <font>
      <i/>
      <u/>
      <sz val="11"/>
      <color theme="1"/>
      <name val="Calibri"/>
      <family val="2"/>
      <scheme val="minor"/>
    </font>
    <font>
      <i/>
      <sz val="9"/>
      <color theme="1"/>
      <name val="Calibri"/>
      <family val="2"/>
      <scheme val="minor"/>
    </font>
    <font>
      <b/>
      <sz val="9"/>
      <color theme="1"/>
      <name val="Calibri"/>
      <family val="2"/>
      <scheme val="minor"/>
    </font>
    <font>
      <b/>
      <sz val="11"/>
      <color rgb="FF000000"/>
      <name val="Calibri"/>
      <family val="2"/>
      <scheme val="minor"/>
    </font>
    <font>
      <i/>
      <sz val="10"/>
      <color theme="1"/>
      <name val="Calibri"/>
      <family val="2"/>
      <scheme val="minor"/>
    </font>
    <font>
      <sz val="11"/>
      <color rgb="FF000000"/>
      <name val="Calibri"/>
      <family val="2"/>
      <scheme val="minor"/>
    </font>
    <font>
      <b/>
      <u/>
      <sz val="11"/>
      <color theme="1"/>
      <name val="Calibri"/>
      <family val="2"/>
      <scheme val="minor"/>
    </font>
    <font>
      <sz val="9"/>
      <color theme="1"/>
      <name val="Calibri"/>
      <family val="2"/>
      <scheme val="minor"/>
    </font>
    <font>
      <b/>
      <i/>
      <sz val="9"/>
      <color theme="1"/>
      <name val="Calibri"/>
      <family val="2"/>
      <scheme val="minor"/>
    </font>
    <font>
      <u/>
      <sz val="11"/>
      <color theme="10"/>
      <name val="Calibri"/>
      <family val="2"/>
      <scheme val="minor"/>
    </font>
    <font>
      <b/>
      <i/>
      <sz val="20"/>
      <color theme="1"/>
      <name val="Calibri"/>
      <family val="2"/>
      <scheme val="minor"/>
    </font>
    <font>
      <b/>
      <i/>
      <sz val="11"/>
      <color theme="1"/>
      <name val="Calibri"/>
      <family val="2"/>
      <scheme val="minor"/>
    </font>
    <font>
      <b/>
      <sz val="12"/>
      <color theme="1"/>
      <name val="Calibri"/>
      <family val="2"/>
      <scheme val="minor"/>
    </font>
    <font>
      <sz val="11"/>
      <color theme="0"/>
      <name val="Calibri"/>
      <family val="2"/>
      <scheme val="minor"/>
    </font>
    <font>
      <sz val="16"/>
      <color theme="0"/>
      <name val="Calibri Light"/>
      <family val="2"/>
      <scheme val="major"/>
    </font>
    <font>
      <i/>
      <sz val="16"/>
      <color theme="0"/>
      <name val="Calibri"/>
      <family val="2"/>
      <scheme val="minor"/>
    </font>
    <font>
      <b/>
      <sz val="20"/>
      <color theme="1"/>
      <name val="Calibri Light"/>
      <family val="2"/>
      <scheme val="major"/>
    </font>
    <font>
      <b/>
      <sz val="24"/>
      <color theme="1"/>
      <name val="Calibri Light"/>
      <family val="2"/>
      <scheme val="major"/>
    </font>
    <font>
      <u/>
      <sz val="12"/>
      <color theme="10"/>
      <name val="Calibri"/>
      <family val="2"/>
      <scheme val="minor"/>
    </font>
  </fonts>
  <fills count="13">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rgb="FFA6A6A6"/>
        <bgColor indexed="64"/>
      </patternFill>
    </fill>
    <fill>
      <patternFill patternType="solid">
        <fgColor theme="7" tint="0.59999389629810485"/>
        <bgColor indexed="64"/>
      </patternFill>
    </fill>
    <fill>
      <patternFill patternType="solid">
        <fgColor theme="8" tint="-0.249977111117893"/>
        <bgColor indexed="64"/>
      </patternFill>
    </fill>
    <fill>
      <patternFill patternType="solid">
        <fgColor theme="8" tint="0.39997558519241921"/>
        <bgColor indexed="64"/>
      </patternFill>
    </fill>
  </fills>
  <borders count="25">
    <border>
      <left/>
      <right/>
      <top/>
      <bottom/>
      <diagonal/>
    </border>
    <border>
      <left style="medium">
        <color theme="7" tint="-0.24994659260841701"/>
      </left>
      <right style="medium">
        <color theme="7" tint="-0.24994659260841701"/>
      </right>
      <top style="medium">
        <color theme="7" tint="-0.24994659260841701"/>
      </top>
      <bottom style="medium">
        <color theme="7" tint="-0.24994659260841701"/>
      </bottom>
      <diagonal/>
    </border>
    <border>
      <left/>
      <right/>
      <top style="thin">
        <color indexed="64"/>
      </top>
      <bottom style="medium">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rgb="FF000000"/>
      </right>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28" fillId="0" borderId="0" applyNumberFormat="0" applyFill="0" applyBorder="0" applyAlignment="0" applyProtection="0"/>
  </cellStyleXfs>
  <cellXfs count="162">
    <xf numFmtId="0" fontId="0" fillId="0" borderId="0" xfId="0"/>
    <xf numFmtId="0" fontId="2" fillId="0" borderId="0" xfId="0" applyFont="1"/>
    <xf numFmtId="0" fontId="3" fillId="0" borderId="0" xfId="0" applyFont="1"/>
    <xf numFmtId="0" fontId="4" fillId="2" borderId="0" xfId="0" applyFont="1" applyFill="1" applyAlignment="1">
      <alignment horizontal="center"/>
    </xf>
    <xf numFmtId="49" fontId="0" fillId="0" borderId="0" xfId="0" applyNumberFormat="1" applyAlignment="1">
      <alignment wrapText="1"/>
    </xf>
    <xf numFmtId="0" fontId="4" fillId="4" borderId="0" xfId="0" applyFont="1" applyFill="1" applyAlignment="1">
      <alignment horizontal="center"/>
    </xf>
    <xf numFmtId="0" fontId="2" fillId="5" borderId="0" xfId="0" applyFont="1" applyFill="1" applyAlignment="1">
      <alignment wrapText="1"/>
    </xf>
    <xf numFmtId="0" fontId="6" fillId="0" borderId="0" xfId="0" applyFont="1"/>
    <xf numFmtId="164" fontId="7" fillId="0" borderId="0" xfId="1" applyNumberFormat="1" applyFont="1" applyFill="1" applyBorder="1"/>
    <xf numFmtId="0" fontId="3" fillId="2" borderId="0" xfId="0" applyFont="1" applyFill="1"/>
    <xf numFmtId="0" fontId="9" fillId="0" borderId="0" xfId="0" applyFont="1"/>
    <xf numFmtId="165" fontId="2" fillId="5" borderId="0" xfId="1" applyNumberFormat="1" applyFont="1" applyFill="1" applyBorder="1" applyAlignment="1">
      <alignment vertical="center"/>
    </xf>
    <xf numFmtId="0" fontId="3" fillId="0" borderId="0" xfId="0" applyFont="1" applyAlignment="1">
      <alignment horizontal="right"/>
    </xf>
    <xf numFmtId="0" fontId="14" fillId="0" borderId="0" xfId="0" applyFont="1"/>
    <xf numFmtId="0" fontId="16" fillId="0" borderId="0" xfId="0" applyFont="1"/>
    <xf numFmtId="0" fontId="17" fillId="0" borderId="0" xfId="0" applyFont="1"/>
    <xf numFmtId="0" fontId="18" fillId="0" borderId="0" xfId="0" applyFont="1"/>
    <xf numFmtId="0" fontId="15" fillId="0" borderId="0" xfId="0" applyFont="1"/>
    <xf numFmtId="164" fontId="14" fillId="2" borderId="0" xfId="1" applyNumberFormat="1" applyFont="1" applyFill="1"/>
    <xf numFmtId="0" fontId="0" fillId="2" borderId="0" xfId="0" applyFill="1"/>
    <xf numFmtId="9" fontId="0" fillId="3" borderId="0" xfId="2" applyFont="1" applyFill="1" applyBorder="1" applyAlignment="1">
      <alignment wrapText="1"/>
    </xf>
    <xf numFmtId="0" fontId="0" fillId="3" borderId="0" xfId="0" applyFill="1"/>
    <xf numFmtId="0" fontId="13" fillId="2" borderId="0" xfId="0" applyFont="1" applyFill="1"/>
    <xf numFmtId="0" fontId="8" fillId="0" borderId="0" xfId="0" applyFont="1"/>
    <xf numFmtId="164" fontId="12" fillId="6" borderId="0" xfId="1" applyNumberFormat="1" applyFont="1" applyFill="1" applyBorder="1" applyAlignment="1">
      <alignment horizontal="center"/>
    </xf>
    <xf numFmtId="164" fontId="12" fillId="7" borderId="0" xfId="1" applyNumberFormat="1" applyFont="1" applyFill="1" applyBorder="1" applyAlignment="1">
      <alignment horizontal="center"/>
    </xf>
    <xf numFmtId="49" fontId="8" fillId="0" borderId="0" xfId="0" applyNumberFormat="1" applyFont="1" applyAlignment="1">
      <alignment wrapText="1"/>
    </xf>
    <xf numFmtId="49" fontId="0" fillId="0" borderId="0" xfId="0" applyNumberFormat="1" applyAlignment="1">
      <alignment vertical="top" wrapText="1"/>
    </xf>
    <xf numFmtId="0" fontId="3" fillId="8" borderId="0" xfId="0" applyFont="1" applyFill="1"/>
    <xf numFmtId="0" fontId="0" fillId="8" borderId="0" xfId="0" applyFill="1"/>
    <xf numFmtId="0" fontId="0" fillId="8" borderId="0" xfId="0" applyFill="1" applyAlignment="1">
      <alignment vertical="center" wrapText="1"/>
    </xf>
    <xf numFmtId="9" fontId="0" fillId="8" borderId="0" xfId="2" applyFont="1" applyFill="1" applyAlignment="1">
      <alignment vertical="center" wrapText="1"/>
    </xf>
    <xf numFmtId="0" fontId="3" fillId="8" borderId="0" xfId="0" applyFont="1" applyFill="1" applyAlignment="1">
      <alignment horizontal="right" vertical="center"/>
    </xf>
    <xf numFmtId="0" fontId="3" fillId="8" borderId="0" xfId="0" applyFont="1" applyFill="1" applyAlignment="1">
      <alignment horizontal="left" wrapText="1"/>
    </xf>
    <xf numFmtId="166" fontId="0" fillId="0" borderId="0" xfId="0" applyNumberFormat="1"/>
    <xf numFmtId="0" fontId="19" fillId="8" borderId="0" xfId="0" applyFont="1" applyFill="1" applyAlignment="1">
      <alignment horizontal="left" wrapText="1"/>
    </xf>
    <xf numFmtId="0" fontId="3" fillId="8" borderId="0" xfId="0" applyFont="1" applyFill="1" applyAlignment="1">
      <alignment horizontal="right" vertical="center" wrapText="1"/>
    </xf>
    <xf numFmtId="0" fontId="19" fillId="8" borderId="0" xfId="0" applyFont="1" applyFill="1" applyAlignment="1">
      <alignment vertical="center"/>
    </xf>
    <xf numFmtId="164" fontId="0" fillId="8" borderId="0" xfId="2" applyNumberFormat="1" applyFont="1" applyFill="1" applyAlignment="1">
      <alignment vertical="center" wrapText="1"/>
    </xf>
    <xf numFmtId="9" fontId="20" fillId="8" borderId="0" xfId="2" applyFont="1" applyFill="1" applyAlignment="1">
      <alignment vertical="center" wrapText="1"/>
    </xf>
    <xf numFmtId="164" fontId="20" fillId="8" borderId="0" xfId="2" applyNumberFormat="1" applyFont="1" applyFill="1" applyAlignment="1">
      <alignment vertical="center" wrapText="1"/>
    </xf>
    <xf numFmtId="9" fontId="20" fillId="8" borderId="0" xfId="2" applyFont="1" applyFill="1" applyAlignment="1">
      <alignment horizontal="righ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0" fillId="9" borderId="5" xfId="0" applyFill="1" applyBorder="1" applyAlignment="1">
      <alignment vertical="center" wrapText="1"/>
    </xf>
    <xf numFmtId="0" fontId="0" fillId="9" borderId="6" xfId="0" applyFill="1" applyBorder="1" applyAlignment="1">
      <alignment vertical="center" wrapText="1"/>
    </xf>
    <xf numFmtId="0" fontId="3" fillId="9" borderId="6" xfId="0" applyFont="1" applyFill="1" applyBorder="1" applyAlignment="1">
      <alignment vertical="center" wrapText="1"/>
    </xf>
    <xf numFmtId="0" fontId="0" fillId="0" borderId="5" xfId="0" applyBorder="1" applyAlignment="1">
      <alignment vertical="center" wrapText="1"/>
    </xf>
    <xf numFmtId="0" fontId="3" fillId="0" borderId="5" xfId="0" applyFont="1" applyBorder="1" applyAlignment="1">
      <alignment vertical="center" wrapText="1"/>
    </xf>
    <xf numFmtId="0" fontId="0" fillId="0" borderId="5" xfId="0" applyBorder="1" applyAlignment="1">
      <alignment horizontal="left" vertical="center" wrapText="1" indent="1"/>
    </xf>
    <xf numFmtId="9" fontId="0" fillId="0" borderId="6" xfId="0" applyNumberFormat="1" applyBorder="1" applyAlignment="1">
      <alignment vertical="center" wrapText="1"/>
    </xf>
    <xf numFmtId="3" fontId="0" fillId="0" borderId="6" xfId="0" applyNumberFormat="1" applyBorder="1" applyAlignment="1">
      <alignment vertical="center" wrapText="1"/>
    </xf>
    <xf numFmtId="0" fontId="0" fillId="0" borderId="6" xfId="0" applyBorder="1" applyAlignment="1">
      <alignment vertical="center" wrapText="1"/>
    </xf>
    <xf numFmtId="1" fontId="0" fillId="0" borderId="6" xfId="0" applyNumberFormat="1" applyBorder="1" applyAlignment="1">
      <alignment vertical="center" wrapText="1"/>
    </xf>
    <xf numFmtId="0" fontId="3" fillId="0" borderId="6" xfId="0" applyFont="1" applyBorder="1" applyAlignment="1">
      <alignment vertical="center" wrapText="1"/>
    </xf>
    <xf numFmtId="3" fontId="24" fillId="0" borderId="6" xfId="0" applyNumberFormat="1" applyFont="1" applyBorder="1" applyAlignment="1">
      <alignment vertical="center" wrapText="1"/>
    </xf>
    <xf numFmtId="0" fontId="25" fillId="0" borderId="0" xfId="0" applyFont="1"/>
    <xf numFmtId="164" fontId="13" fillId="3" borderId="0" xfId="1" applyNumberFormat="1" applyFont="1" applyFill="1"/>
    <xf numFmtId="2" fontId="14" fillId="0" borderId="0" xfId="0" applyNumberFormat="1" applyFont="1"/>
    <xf numFmtId="168" fontId="20" fillId="8" borderId="0" xfId="2" applyNumberFormat="1" applyFont="1" applyFill="1" applyAlignment="1">
      <alignment vertical="center" wrapText="1"/>
    </xf>
    <xf numFmtId="164" fontId="0" fillId="0" borderId="10" xfId="0" applyNumberFormat="1" applyBorder="1"/>
    <xf numFmtId="0" fontId="13" fillId="8" borderId="0" xfId="0" applyFont="1" applyFill="1" applyAlignment="1">
      <alignment vertical="center" wrapText="1"/>
    </xf>
    <xf numFmtId="164" fontId="13" fillId="8" borderId="0" xfId="2" applyNumberFormat="1" applyFont="1" applyFill="1" applyAlignment="1">
      <alignment vertical="center" wrapText="1"/>
    </xf>
    <xf numFmtId="164" fontId="0" fillId="8" borderId="2" xfId="1" applyNumberFormat="1" applyFont="1" applyFill="1" applyBorder="1" applyAlignment="1">
      <alignment vertical="center" wrapText="1"/>
    </xf>
    <xf numFmtId="0" fontId="26" fillId="0" borderId="0" xfId="0" applyFont="1" applyAlignment="1">
      <alignment horizontal="right"/>
    </xf>
    <xf numFmtId="164" fontId="26" fillId="0" borderId="0" xfId="0" applyNumberFormat="1" applyFont="1"/>
    <xf numFmtId="168" fontId="26" fillId="0" borderId="0" xfId="2" applyNumberFormat="1" applyFont="1"/>
    <xf numFmtId="165" fontId="11" fillId="2" borderId="0" xfId="1" applyNumberFormat="1" applyFont="1" applyFill="1" applyBorder="1"/>
    <xf numFmtId="165" fontId="11" fillId="4" borderId="0" xfId="1" applyNumberFormat="1" applyFont="1" applyFill="1" applyBorder="1"/>
    <xf numFmtId="165" fontId="11" fillId="6" borderId="0" xfId="1" applyNumberFormat="1" applyFont="1" applyFill="1" applyBorder="1"/>
    <xf numFmtId="165" fontId="11" fillId="7" borderId="0" xfId="1" applyNumberFormat="1" applyFont="1" applyFill="1" applyBorder="1"/>
    <xf numFmtId="169" fontId="0" fillId="0" borderId="6" xfId="1" applyNumberFormat="1" applyFont="1" applyFill="1" applyBorder="1" applyAlignment="1">
      <alignment vertical="center" wrapText="1"/>
    </xf>
    <xf numFmtId="1" fontId="0" fillId="0" borderId="0" xfId="0" applyNumberFormat="1"/>
    <xf numFmtId="164" fontId="0" fillId="0" borderId="0" xfId="0" applyNumberFormat="1"/>
    <xf numFmtId="9" fontId="0" fillId="0" borderId="0" xfId="2" applyFont="1"/>
    <xf numFmtId="3" fontId="24" fillId="0" borderId="6" xfId="0" applyNumberFormat="1" applyFont="1" applyBorder="1" applyAlignment="1">
      <alignment horizontal="center" vertical="center" wrapText="1"/>
    </xf>
    <xf numFmtId="3" fontId="0" fillId="0" borderId="6" xfId="0" applyNumberFormat="1" applyBorder="1" applyAlignment="1">
      <alignment horizontal="center" vertical="center" wrapText="1"/>
    </xf>
    <xf numFmtId="170" fontId="0" fillId="0" borderId="0" xfId="0" applyNumberFormat="1"/>
    <xf numFmtId="0" fontId="0" fillId="8" borderId="0" xfId="0" applyFill="1" applyAlignment="1">
      <alignment horizontal="right" vertical="center" wrapText="1"/>
    </xf>
    <xf numFmtId="0" fontId="3" fillId="8" borderId="13" xfId="0" applyFont="1" applyFill="1" applyBorder="1" applyAlignment="1">
      <alignment horizontal="right" vertical="center" wrapText="1"/>
    </xf>
    <xf numFmtId="0" fontId="3" fillId="8" borderId="14" xfId="0" applyFont="1" applyFill="1" applyBorder="1" applyAlignment="1">
      <alignment horizontal="right" vertical="center"/>
    </xf>
    <xf numFmtId="164" fontId="0" fillId="8" borderId="13" xfId="2" applyNumberFormat="1" applyFont="1" applyFill="1" applyBorder="1" applyAlignment="1">
      <alignment vertical="center" wrapText="1"/>
    </xf>
    <xf numFmtId="164" fontId="0" fillId="8" borderId="14" xfId="2" applyNumberFormat="1" applyFont="1" applyFill="1" applyBorder="1" applyAlignment="1">
      <alignment vertical="center" wrapText="1"/>
    </xf>
    <xf numFmtId="164" fontId="3" fillId="8" borderId="15" xfId="2" applyNumberFormat="1" applyFont="1" applyFill="1" applyBorder="1" applyAlignment="1">
      <alignment vertical="center" wrapText="1"/>
    </xf>
    <xf numFmtId="164" fontId="3" fillId="8" borderId="16" xfId="2" applyNumberFormat="1" applyFont="1" applyFill="1" applyBorder="1" applyAlignment="1">
      <alignment vertical="center" wrapText="1"/>
    </xf>
    <xf numFmtId="9" fontId="27" fillId="8" borderId="0" xfId="2" applyFont="1" applyFill="1" applyAlignment="1">
      <alignment horizontal="center" vertical="center" wrapText="1"/>
    </xf>
    <xf numFmtId="1" fontId="13" fillId="10" borderId="0" xfId="0" applyNumberFormat="1" applyFont="1" applyFill="1"/>
    <xf numFmtId="164" fontId="14" fillId="10" borderId="0" xfId="0" applyNumberFormat="1" applyFont="1" applyFill="1" applyAlignment="1">
      <alignment horizontal="right" vertical="center"/>
    </xf>
    <xf numFmtId="10" fontId="0" fillId="0" borderId="0" xfId="0" applyNumberFormat="1"/>
    <xf numFmtId="0" fontId="3" fillId="2" borderId="0" xfId="0" applyFont="1" applyFill="1" applyAlignment="1">
      <alignment horizontal="right" vertical="center" wrapText="1" indent="1"/>
    </xf>
    <xf numFmtId="0" fontId="14" fillId="8" borderId="0" xfId="0" applyFont="1" applyFill="1" applyAlignment="1">
      <alignment horizontal="right" vertical="center" wrapText="1"/>
    </xf>
    <xf numFmtId="164" fontId="14" fillId="8" borderId="0" xfId="2" applyNumberFormat="1" applyFont="1" applyFill="1" applyAlignment="1">
      <alignment vertical="center" wrapText="1"/>
    </xf>
    <xf numFmtId="0" fontId="0" fillId="3" borderId="0" xfId="0" applyFill="1" applyAlignment="1">
      <alignment horizontal="right"/>
    </xf>
    <xf numFmtId="0" fontId="0" fillId="3" borderId="0" xfId="0" applyFill="1" applyAlignment="1">
      <alignment horizontal="right" wrapText="1"/>
    </xf>
    <xf numFmtId="49" fontId="29" fillId="0" borderId="0" xfId="0" applyNumberFormat="1" applyFont="1" applyAlignment="1">
      <alignment wrapText="1"/>
    </xf>
    <xf numFmtId="164" fontId="13" fillId="2" borderId="0" xfId="1" applyNumberFormat="1" applyFont="1" applyFill="1" applyAlignment="1">
      <alignment horizontal="center"/>
    </xf>
    <xf numFmtId="0" fontId="0" fillId="9" borderId="6" xfId="0" applyFill="1" applyBorder="1" applyAlignment="1">
      <alignment horizontal="right" vertical="center" wrapText="1"/>
    </xf>
    <xf numFmtId="0" fontId="0" fillId="0" borderId="6" xfId="0" applyBorder="1" applyAlignment="1">
      <alignment horizontal="right" vertical="center" wrapText="1"/>
    </xf>
    <xf numFmtId="0" fontId="2" fillId="0" borderId="17" xfId="0" applyFont="1" applyBorder="1"/>
    <xf numFmtId="165" fontId="11" fillId="2" borderId="17" xfId="1" applyNumberFormat="1" applyFont="1" applyFill="1" applyBorder="1"/>
    <xf numFmtId="165" fontId="11" fillId="4" borderId="17" xfId="1" applyNumberFormat="1" applyFont="1" applyFill="1" applyBorder="1"/>
    <xf numFmtId="165" fontId="11" fillId="6" borderId="17" xfId="1" applyNumberFormat="1" applyFont="1" applyFill="1" applyBorder="1"/>
    <xf numFmtId="165" fontId="11" fillId="7" borderId="17" xfId="1" applyNumberFormat="1" applyFont="1" applyFill="1" applyBorder="1"/>
    <xf numFmtId="0" fontId="0" fillId="0" borderId="17" xfId="0" applyBorder="1"/>
    <xf numFmtId="0" fontId="0" fillId="8" borderId="9" xfId="0" applyFill="1" applyBorder="1" applyAlignment="1">
      <alignment vertical="center" wrapText="1"/>
    </xf>
    <xf numFmtId="164" fontId="1" fillId="8" borderId="9" xfId="2" applyNumberFormat="1" applyFont="1" applyFill="1" applyBorder="1" applyAlignment="1">
      <alignment vertical="center" wrapText="1"/>
    </xf>
    <xf numFmtId="9" fontId="1" fillId="8" borderId="9" xfId="2" applyFont="1" applyFill="1" applyBorder="1" applyAlignment="1">
      <alignment vertical="center" wrapText="1"/>
    </xf>
    <xf numFmtId="164" fontId="0" fillId="8" borderId="9" xfId="2" applyNumberFormat="1" applyFont="1" applyFill="1" applyBorder="1" applyAlignment="1">
      <alignment horizontal="right" vertical="center" wrapText="1"/>
    </xf>
    <xf numFmtId="164" fontId="0" fillId="8" borderId="9" xfId="1" applyNumberFormat="1" applyFont="1" applyFill="1" applyBorder="1" applyAlignment="1">
      <alignment horizontal="right" vertical="center" wrapText="1"/>
    </xf>
    <xf numFmtId="0" fontId="30" fillId="0" borderId="0" xfId="0" applyFont="1"/>
    <xf numFmtId="164" fontId="0" fillId="2" borderId="0" xfId="0" applyNumberFormat="1" applyFill="1"/>
    <xf numFmtId="9" fontId="0" fillId="2" borderId="0" xfId="0" applyNumberFormat="1" applyFill="1"/>
    <xf numFmtId="1" fontId="0" fillId="2" borderId="0" xfId="0" applyNumberFormat="1" applyFill="1" applyAlignment="1">
      <alignment vertical="center" wrapText="1"/>
    </xf>
    <xf numFmtId="9" fontId="0" fillId="2" borderId="1" xfId="0" applyNumberFormat="1" applyFill="1" applyBorder="1" applyAlignment="1">
      <alignment vertical="center" wrapText="1"/>
    </xf>
    <xf numFmtId="9" fontId="0" fillId="2" borderId="0" xfId="2" applyFont="1" applyFill="1" applyAlignment="1">
      <alignment vertical="center" wrapText="1"/>
    </xf>
    <xf numFmtId="0" fontId="0" fillId="0" borderId="0" xfId="0" applyAlignment="1">
      <alignment vertical="center" wrapText="1"/>
    </xf>
    <xf numFmtId="0" fontId="25" fillId="0" borderId="0" xfId="0" applyFont="1" applyAlignment="1">
      <alignment vertical="center" wrapText="1"/>
    </xf>
    <xf numFmtId="167" fontId="0" fillId="0" borderId="0" xfId="2" applyNumberFormat="1" applyFont="1" applyFill="1" applyAlignment="1">
      <alignment vertical="center" wrapText="1"/>
    </xf>
    <xf numFmtId="43" fontId="0" fillId="0" borderId="0" xfId="2" applyNumberFormat="1" applyFont="1" applyFill="1" applyAlignment="1">
      <alignment vertical="center" wrapText="1"/>
    </xf>
    <xf numFmtId="9" fontId="0" fillId="0" borderId="0" xfId="2" applyFont="1" applyFill="1" applyAlignment="1">
      <alignment vertical="center" wrapText="1"/>
    </xf>
    <xf numFmtId="164" fontId="0" fillId="0" borderId="0" xfId="2" applyNumberFormat="1" applyFont="1" applyFill="1" applyAlignment="1">
      <alignment vertical="center" wrapText="1"/>
    </xf>
    <xf numFmtId="43" fontId="0" fillId="8" borderId="0" xfId="0" applyNumberFormat="1" applyFill="1"/>
    <xf numFmtId="0" fontId="22" fillId="0" borderId="4" xfId="0" applyFont="1" applyBorder="1" applyAlignment="1">
      <alignment horizontal="center" vertical="center" wrapText="1"/>
    </xf>
    <xf numFmtId="0" fontId="0" fillId="11" borderId="20" xfId="0" applyFill="1" applyBorder="1" applyAlignment="1">
      <alignment vertical="top"/>
    </xf>
    <xf numFmtId="49" fontId="5" fillId="11" borderId="20" xfId="0" applyNumberFormat="1" applyFont="1" applyFill="1" applyBorder="1" applyAlignment="1">
      <alignment wrapText="1"/>
    </xf>
    <xf numFmtId="49" fontId="0" fillId="2" borderId="18" xfId="0" applyNumberFormat="1" applyFill="1" applyBorder="1" applyAlignment="1">
      <alignment wrapText="1"/>
    </xf>
    <xf numFmtId="49" fontId="5" fillId="12" borderId="20" xfId="0" applyNumberFormat="1" applyFont="1" applyFill="1" applyBorder="1" applyAlignment="1">
      <alignment wrapText="1"/>
    </xf>
    <xf numFmtId="49" fontId="28" fillId="2" borderId="18" xfId="3" applyNumberFormat="1" applyFill="1" applyBorder="1" applyAlignment="1">
      <alignment vertical="top" wrapText="1"/>
    </xf>
    <xf numFmtId="49" fontId="28" fillId="2" borderId="19" xfId="3" applyNumberFormat="1" applyFill="1" applyBorder="1" applyAlignment="1">
      <alignment wrapText="1"/>
    </xf>
    <xf numFmtId="0" fontId="0" fillId="2" borderId="18" xfId="0" applyFill="1" applyBorder="1"/>
    <xf numFmtId="0" fontId="28" fillId="2" borderId="18" xfId="3" applyFill="1" applyBorder="1"/>
    <xf numFmtId="0" fontId="0" fillId="2" borderId="19" xfId="0" applyFill="1" applyBorder="1"/>
    <xf numFmtId="49" fontId="10" fillId="2" borderId="19" xfId="0" applyNumberFormat="1" applyFont="1" applyFill="1" applyBorder="1" applyAlignment="1">
      <alignment wrapText="1"/>
    </xf>
    <xf numFmtId="0" fontId="28" fillId="2" borderId="19" xfId="3" applyFill="1" applyBorder="1" applyAlignment="1">
      <alignment wrapText="1"/>
    </xf>
    <xf numFmtId="49" fontId="32" fillId="11" borderId="20" xfId="0" applyNumberFormat="1" applyFont="1" applyFill="1" applyBorder="1" applyAlignment="1">
      <alignment wrapText="1"/>
    </xf>
    <xf numFmtId="49" fontId="34" fillId="11" borderId="20" xfId="0" applyNumberFormat="1" applyFont="1" applyFill="1" applyBorder="1" applyAlignment="1">
      <alignment wrapText="1"/>
    </xf>
    <xf numFmtId="49" fontId="35" fillId="0" borderId="0" xfId="0" applyNumberFormat="1" applyFont="1" applyAlignment="1">
      <alignment wrapText="1"/>
    </xf>
    <xf numFmtId="49" fontId="36" fillId="0" borderId="0" xfId="0" applyNumberFormat="1" applyFont="1" applyAlignment="1">
      <alignment wrapText="1"/>
    </xf>
    <xf numFmtId="49" fontId="33" fillId="11" borderId="21" xfId="0" applyNumberFormat="1" applyFont="1" applyFill="1" applyBorder="1" applyAlignment="1">
      <alignment wrapText="1"/>
    </xf>
    <xf numFmtId="49" fontId="0" fillId="2" borderId="22" xfId="0" applyNumberFormat="1" applyFill="1" applyBorder="1" applyAlignment="1">
      <alignment wrapText="1"/>
    </xf>
    <xf numFmtId="49" fontId="31" fillId="12" borderId="21" xfId="0" applyNumberFormat="1" applyFont="1" applyFill="1" applyBorder="1" applyAlignment="1">
      <alignment wrapText="1"/>
    </xf>
    <xf numFmtId="49" fontId="13" fillId="2" borderId="22" xfId="0" applyNumberFormat="1" applyFont="1" applyFill="1" applyBorder="1" applyAlignment="1">
      <alignment vertical="top" wrapText="1"/>
    </xf>
    <xf numFmtId="49" fontId="0" fillId="2" borderId="23" xfId="0" applyNumberFormat="1" applyFill="1" applyBorder="1" applyAlignment="1">
      <alignment wrapText="1"/>
    </xf>
    <xf numFmtId="49" fontId="0" fillId="2" borderId="22" xfId="0" applyNumberFormat="1" applyFill="1" applyBorder="1" applyAlignment="1">
      <alignment vertical="top" wrapText="1"/>
    </xf>
    <xf numFmtId="49" fontId="0" fillId="2" borderId="22" xfId="0" applyNumberFormat="1" applyFill="1" applyBorder="1" applyAlignment="1">
      <alignment horizontal="left" wrapText="1" indent="1"/>
    </xf>
    <xf numFmtId="49" fontId="0" fillId="2" borderId="22" xfId="0" applyNumberFormat="1" applyFill="1" applyBorder="1" applyAlignment="1">
      <alignment horizontal="left" vertical="top" wrapText="1"/>
    </xf>
    <xf numFmtId="164" fontId="12" fillId="6" borderId="0" xfId="1" applyNumberFormat="1" applyFont="1" applyFill="1" applyBorder="1" applyAlignment="1">
      <alignment horizontal="center" vertical="center"/>
    </xf>
    <xf numFmtId="164" fontId="12" fillId="7" borderId="0" xfId="1" applyNumberFormat="1" applyFont="1" applyFill="1" applyBorder="1" applyAlignment="1">
      <alignment horizontal="center" vertical="center"/>
    </xf>
    <xf numFmtId="49" fontId="4" fillId="0" borderId="0" xfId="0" applyNumberFormat="1" applyFont="1" applyAlignment="1">
      <alignment horizontal="center" vertical="top" wrapText="1"/>
    </xf>
    <xf numFmtId="0" fontId="4" fillId="4" borderId="0" xfId="0" applyFont="1" applyFill="1" applyAlignment="1">
      <alignment horizontal="center" vertical="center" wrapText="1"/>
    </xf>
    <xf numFmtId="49" fontId="4" fillId="2" borderId="0" xfId="0" applyNumberFormat="1" applyFont="1" applyFill="1" applyAlignment="1">
      <alignment horizontal="center" vertical="center" wrapText="1"/>
    </xf>
    <xf numFmtId="9" fontId="3" fillId="8" borderId="11" xfId="2" applyFont="1" applyFill="1" applyBorder="1" applyAlignment="1">
      <alignment horizontal="center" vertical="center"/>
    </xf>
    <xf numFmtId="9" fontId="3" fillId="8" borderId="12" xfId="2" applyFont="1" applyFill="1" applyBorder="1" applyAlignment="1">
      <alignment horizontal="center" vertical="center"/>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4" xfId="0" applyFont="1" applyBorder="1" applyAlignment="1">
      <alignment horizontal="center" vertical="center" wrapText="1"/>
    </xf>
    <xf numFmtId="0" fontId="3" fillId="3" borderId="0" xfId="0" applyFont="1" applyFill="1" applyAlignment="1">
      <alignment horizontal="center" wrapText="1"/>
    </xf>
    <xf numFmtId="0" fontId="37" fillId="0" borderId="24" xfId="3" applyFont="1" applyFill="1" applyBorder="1"/>
    <xf numFmtId="0" fontId="37" fillId="0" borderId="16" xfId="3" applyFont="1" applyFill="1" applyBorder="1"/>
    <xf numFmtId="0" fontId="0" fillId="0" borderId="0" xfId="0" applyFill="1"/>
    <xf numFmtId="49" fontId="0" fillId="0" borderId="0" xfId="0" applyNumberFormat="1" applyFont="1" applyAlignment="1">
      <alignment wrapText="1"/>
    </xf>
    <xf numFmtId="0" fontId="28" fillId="0" borderId="15" xfId="3" applyFont="1" applyFill="1" applyBorder="1"/>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colors>
    <mruColors>
      <color rgb="FFEF4D7F"/>
      <color rgb="FF00ACD3"/>
      <color rgb="FFED7D31"/>
      <color rgb="FFDAEAF0"/>
      <color rgb="FF5BC4BE"/>
      <color rgb="FFA5A5A5"/>
      <color rgb="FFD7E2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nvironment.govt.nz/assets/what-government-is-doing/climate-change/Data-underpinning-NDC-announcement.xlsx" TargetMode="External"/><Relationship Id="rId2" Type="http://schemas.openxmlformats.org/officeDocument/2006/relationships/hyperlink" Target="https://www.climatecommission.govt.nz/public/Uploads/EB4/supporting-docs/EB4-03-ENZ-results-for-draft-EB4-advice.zip" TargetMode="External"/><Relationship Id="rId1" Type="http://schemas.openxmlformats.org/officeDocument/2006/relationships/hyperlink" Target="https://environment.govt.nz/facts-and-science/climate-change/new-zealands-projected-greenhouse-gas-emissions-to-2050/" TargetMode="External"/><Relationship Id="rId6" Type="http://schemas.openxmlformats.org/officeDocument/2006/relationships/printerSettings" Target="../printerSettings/printerSettings1.bin"/><Relationship Id="rId5" Type="http://schemas.openxmlformats.org/officeDocument/2006/relationships/hyperlink" Target="https://www.climatecommission.govt.nz/our-work/advice-to-government-topic/nationally-determined-contributions/ndc2-report/" TargetMode="External"/><Relationship Id="rId4" Type="http://schemas.openxmlformats.org/officeDocument/2006/relationships/hyperlink" Target="https://haveyoursay.climatecommission.govt.nz/comms-and-engagement/advice-on-the-fourth-emissions-budget-2036-2040/supporting_documents/20240403EB4draftadviceP05V01compressed1.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48E21-A8D9-4058-95D7-1AC98D915FC5}">
  <sheetPr codeName="Sheet2">
    <pageSetUpPr fitToPage="1"/>
  </sheetPr>
  <dimension ref="A1:L27"/>
  <sheetViews>
    <sheetView tabSelected="1" zoomScale="85" zoomScaleNormal="85" workbookViewId="0">
      <selection activeCell="B4" sqref="B4"/>
    </sheetView>
  </sheetViews>
  <sheetFormatPr defaultColWidth="8.7109375" defaultRowHeight="15" x14ac:dyDescent="0.25"/>
  <cols>
    <col min="1" max="1" width="115.85546875" style="4" customWidth="1"/>
    <col min="2" max="2" width="113.140625" style="4" bestFit="1" customWidth="1"/>
    <col min="3" max="3" width="81.140625" style="4" customWidth="1"/>
    <col min="4" max="4" width="23.7109375" customWidth="1"/>
  </cols>
  <sheetData>
    <row r="1" spans="1:12" ht="31.5" x14ac:dyDescent="0.5">
      <c r="A1" s="137" t="s">
        <v>0</v>
      </c>
      <c r="B1" s="26"/>
    </row>
    <row r="2" spans="1:12" ht="15" customHeight="1" x14ac:dyDescent="0.5">
      <c r="A2" s="26"/>
      <c r="B2" s="26"/>
    </row>
    <row r="3" spans="1:12" ht="26.25" x14ac:dyDescent="0.4">
      <c r="A3" s="136" t="s">
        <v>1</v>
      </c>
      <c r="B3" s="94"/>
    </row>
    <row r="4" spans="1:12" ht="105" x14ac:dyDescent="0.25">
      <c r="A4" s="160" t="s">
        <v>128</v>
      </c>
    </row>
    <row r="5" spans="1:12" s="159" customFormat="1" ht="15.75" x14ac:dyDescent="0.25">
      <c r="A5" s="161" t="s">
        <v>129</v>
      </c>
      <c r="B5" s="157"/>
      <c r="C5" s="157"/>
      <c r="D5" s="157"/>
      <c r="E5" s="157"/>
      <c r="F5" s="157"/>
      <c r="G5" s="157"/>
      <c r="H5" s="157"/>
      <c r="I5" s="157"/>
      <c r="J5" s="157"/>
      <c r="K5" s="157"/>
      <c r="L5" s="158"/>
    </row>
    <row r="7" spans="1:12" ht="26.25" x14ac:dyDescent="0.4">
      <c r="A7" s="136" t="s">
        <v>2</v>
      </c>
    </row>
    <row r="8" spans="1:12" ht="21" x14ac:dyDescent="0.35">
      <c r="A8" s="138" t="s">
        <v>3</v>
      </c>
      <c r="B8" s="135" t="s">
        <v>4</v>
      </c>
    </row>
    <row r="9" spans="1:12" ht="30" x14ac:dyDescent="0.25">
      <c r="A9" s="139" t="s">
        <v>5</v>
      </c>
      <c r="B9" s="125"/>
    </row>
    <row r="10" spans="1:12" ht="75" x14ac:dyDescent="0.25">
      <c r="A10" s="139" t="s">
        <v>6</v>
      </c>
      <c r="B10" s="125"/>
    </row>
    <row r="11" spans="1:12" ht="18.75" x14ac:dyDescent="0.3">
      <c r="A11" s="140" t="s">
        <v>7</v>
      </c>
      <c r="B11" s="126"/>
    </row>
    <row r="12" spans="1:12" ht="30" x14ac:dyDescent="0.25">
      <c r="A12" s="141" t="s">
        <v>8</v>
      </c>
      <c r="B12" s="127" t="s">
        <v>9</v>
      </c>
    </row>
    <row r="13" spans="1:12" ht="18.75" x14ac:dyDescent="0.3">
      <c r="A13" s="140" t="s">
        <v>10</v>
      </c>
      <c r="B13" s="126"/>
    </row>
    <row r="14" spans="1:12" ht="60" x14ac:dyDescent="0.25">
      <c r="A14" s="142" t="s">
        <v>11</v>
      </c>
      <c r="B14" s="128" t="s">
        <v>12</v>
      </c>
    </row>
    <row r="16" spans="1:12" ht="21" x14ac:dyDescent="0.35">
      <c r="A16" s="138" t="s">
        <v>13</v>
      </c>
      <c r="B16" s="134"/>
    </row>
    <row r="17" spans="1:3" x14ac:dyDescent="0.25">
      <c r="A17" s="143" t="s">
        <v>14</v>
      </c>
      <c r="B17" s="129"/>
    </row>
    <row r="18" spans="1:3" x14ac:dyDescent="0.25">
      <c r="A18" s="139" t="s">
        <v>15</v>
      </c>
      <c r="B18" s="129"/>
      <c r="C18" s="27"/>
    </row>
    <row r="19" spans="1:3" x14ac:dyDescent="0.25">
      <c r="A19" s="144" t="s">
        <v>16</v>
      </c>
      <c r="B19" s="130" t="s">
        <v>17</v>
      </c>
    </row>
    <row r="20" spans="1:3" x14ac:dyDescent="0.25">
      <c r="A20" s="142" t="s">
        <v>18</v>
      </c>
      <c r="B20" s="131"/>
      <c r="C20" s="27"/>
    </row>
    <row r="21" spans="1:3" x14ac:dyDescent="0.25">
      <c r="B21"/>
      <c r="C21" s="27"/>
    </row>
    <row r="22" spans="1:3" ht="21" x14ac:dyDescent="0.35">
      <c r="A22" s="138" t="s">
        <v>19</v>
      </c>
      <c r="B22" s="123"/>
    </row>
    <row r="23" spans="1:3" ht="30" x14ac:dyDescent="0.25">
      <c r="A23" s="145" t="s">
        <v>20</v>
      </c>
      <c r="B23" s="129"/>
    </row>
    <row r="24" spans="1:3" ht="20.45" customHeight="1" x14ac:dyDescent="0.4">
      <c r="A24" s="142" t="s">
        <v>18</v>
      </c>
      <c r="B24" s="132"/>
    </row>
    <row r="26" spans="1:3" ht="21" x14ac:dyDescent="0.35">
      <c r="A26" s="138" t="s">
        <v>21</v>
      </c>
      <c r="B26" s="124"/>
    </row>
    <row r="27" spans="1:3" ht="30" x14ac:dyDescent="0.25">
      <c r="A27" s="142" t="s">
        <v>22</v>
      </c>
      <c r="B27" s="133" t="s">
        <v>23</v>
      </c>
    </row>
  </sheetData>
  <hyperlinks>
    <hyperlink ref="B12" r:id="rId1" xr:uid="{3902D82B-9FF4-4978-869B-C88ACF858686}"/>
    <hyperlink ref="B14" r:id="rId2" xr:uid="{F3B4C578-5662-4908-8ED9-33C37A257516}"/>
    <hyperlink ref="B19" r:id="rId3" xr:uid="{AFFAD2D3-F879-47CB-AD99-728477E9FA42}"/>
    <hyperlink ref="B27" r:id="rId4" display="https://haveyoursay.climatecommission.govt.nz/comms-and-engagement/advice-on-the-fourth-emissions-budget-2036-2040/supporting_documents/20240403EB4draftadviceP05V01compressed1.pdf" xr:uid="{78298ACB-F323-47B7-83E9-E25A1DA5095E}"/>
    <hyperlink ref="A5" r:id="rId5" display="The full report and supporting info are available on the Commission's website." xr:uid="{12C6D5ED-3539-4C69-A09B-DACD3C00608C}"/>
  </hyperlinks>
  <pageMargins left="0.7" right="0.7" top="0.75" bottom="0.75" header="0.3" footer="0.3"/>
  <pageSetup paperSize="8" scale="77"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B6E84-92C0-4C03-96AF-85D9CB175AB2}">
  <sheetPr codeName="Sheet3">
    <pageSetUpPr fitToPage="1"/>
  </sheetPr>
  <dimension ref="A1:P69"/>
  <sheetViews>
    <sheetView zoomScale="70" zoomScaleNormal="70" workbookViewId="0">
      <selection activeCell="B7" sqref="B7"/>
    </sheetView>
  </sheetViews>
  <sheetFormatPr defaultRowHeight="15" x14ac:dyDescent="0.25"/>
  <cols>
    <col min="1" max="1" width="12.85546875" style="1" customWidth="1"/>
    <col min="2" max="2" width="14.42578125" style="1" customWidth="1"/>
    <col min="3" max="7" width="10.5703125" style="1" customWidth="1"/>
    <col min="8" max="8" width="13.85546875" style="1" customWidth="1"/>
    <col min="9" max="10" width="15.42578125" style="1" customWidth="1"/>
    <col min="11" max="11" width="16.140625" style="7" customWidth="1"/>
    <col min="12" max="13" width="17.5703125" style="7" customWidth="1"/>
    <col min="14" max="14" width="18" style="1" customWidth="1"/>
    <col min="15" max="16" width="20.5703125" style="1" customWidth="1"/>
    <col min="17" max="17" width="10.5703125" bestFit="1" customWidth="1"/>
  </cols>
  <sheetData>
    <row r="1" spans="1:16" ht="31.5" x14ac:dyDescent="0.5">
      <c r="A1" s="10" t="s">
        <v>3</v>
      </c>
    </row>
    <row r="2" spans="1:16" ht="15" customHeight="1" x14ac:dyDescent="0.5">
      <c r="A2" s="10"/>
    </row>
    <row r="3" spans="1:16" x14ac:dyDescent="0.25">
      <c r="A3" s="1" t="s">
        <v>24</v>
      </c>
    </row>
    <row r="4" spans="1:16" x14ac:dyDescent="0.25">
      <c r="L4" s="8"/>
      <c r="M4" s="8"/>
    </row>
    <row r="5" spans="1:16" s="2" customFormat="1" x14ac:dyDescent="0.25">
      <c r="A5" s="148"/>
      <c r="B5" s="3" t="s">
        <v>25</v>
      </c>
      <c r="C5" s="3" t="s">
        <v>26</v>
      </c>
      <c r="D5" s="3" t="s">
        <v>27</v>
      </c>
      <c r="E5" s="3" t="s">
        <v>25</v>
      </c>
      <c r="F5" s="3" t="s">
        <v>26</v>
      </c>
      <c r="G5" s="3" t="s">
        <v>27</v>
      </c>
      <c r="H5" s="5" t="s">
        <v>25</v>
      </c>
      <c r="I5" s="5" t="s">
        <v>26</v>
      </c>
      <c r="J5" s="5" t="s">
        <v>27</v>
      </c>
      <c r="K5" s="24" t="s">
        <v>25</v>
      </c>
      <c r="L5" s="24" t="s">
        <v>26</v>
      </c>
      <c r="M5" s="24" t="s">
        <v>27</v>
      </c>
      <c r="N5" s="25" t="s">
        <v>25</v>
      </c>
      <c r="O5" s="25" t="s">
        <v>26</v>
      </c>
      <c r="P5" s="25" t="s">
        <v>27</v>
      </c>
    </row>
    <row r="6" spans="1:16" s="2" customFormat="1" ht="38.1" customHeight="1" x14ac:dyDescent="0.25">
      <c r="A6" s="148"/>
      <c r="B6" s="150" t="s">
        <v>28</v>
      </c>
      <c r="C6" s="150"/>
      <c r="D6" s="150"/>
      <c r="E6" s="150" t="s">
        <v>29</v>
      </c>
      <c r="F6" s="150"/>
      <c r="G6" s="150"/>
      <c r="H6" s="149" t="s">
        <v>30</v>
      </c>
      <c r="I6" s="149"/>
      <c r="J6" s="149"/>
      <c r="K6" s="146" t="s">
        <v>31</v>
      </c>
      <c r="L6" s="146"/>
      <c r="M6" s="146"/>
      <c r="N6" s="147" t="s">
        <v>32</v>
      </c>
      <c r="O6" s="147"/>
      <c r="P6" s="147"/>
    </row>
    <row r="7" spans="1:16" x14ac:dyDescent="0.25">
      <c r="A7" s="1">
        <v>1990</v>
      </c>
      <c r="B7" s="67">
        <v>67903.077546661458</v>
      </c>
      <c r="C7" s="67">
        <v>68753.327546661458</v>
      </c>
      <c r="D7" s="67">
        <v>35142.69</v>
      </c>
      <c r="E7" s="67"/>
      <c r="F7" s="67"/>
      <c r="G7" s="67"/>
      <c r="H7" s="68"/>
      <c r="I7" s="68"/>
      <c r="J7" s="68"/>
      <c r="K7" s="69"/>
      <c r="L7" s="69"/>
      <c r="M7" s="69"/>
      <c r="N7" s="70"/>
      <c r="O7" s="70"/>
      <c r="P7" s="70"/>
    </row>
    <row r="8" spans="1:16" x14ac:dyDescent="0.25">
      <c r="A8" s="1">
        <v>1991</v>
      </c>
      <c r="B8" s="67">
        <v>68890.22158227858</v>
      </c>
      <c r="C8" s="67">
        <v>69748.591582278576</v>
      </c>
      <c r="D8" s="67">
        <v>35411.769999999997</v>
      </c>
      <c r="E8" s="67"/>
      <c r="F8" s="67"/>
      <c r="G8" s="67"/>
      <c r="H8" s="68"/>
      <c r="I8" s="68"/>
      <c r="J8" s="68"/>
      <c r="K8" s="69"/>
      <c r="L8" s="69"/>
      <c r="M8" s="69"/>
      <c r="N8" s="70"/>
      <c r="O8" s="70"/>
      <c r="P8" s="70"/>
    </row>
    <row r="9" spans="1:16" x14ac:dyDescent="0.25">
      <c r="A9" s="1">
        <v>1992</v>
      </c>
      <c r="B9" s="67">
        <v>70027.715358384332</v>
      </c>
      <c r="C9" s="67">
        <v>71145.145358384325</v>
      </c>
      <c r="D9" s="67">
        <v>34987.410000000003</v>
      </c>
      <c r="E9" s="67"/>
      <c r="F9" s="67"/>
      <c r="G9" s="67"/>
      <c r="H9" s="68"/>
      <c r="I9" s="68"/>
      <c r="J9" s="68"/>
      <c r="K9" s="69"/>
      <c r="L9" s="69"/>
      <c r="M9" s="69"/>
      <c r="N9" s="70"/>
      <c r="O9" s="70"/>
      <c r="P9" s="70"/>
    </row>
    <row r="10" spans="1:16" x14ac:dyDescent="0.25">
      <c r="A10" s="1">
        <v>1993</v>
      </c>
      <c r="B10" s="67">
        <v>69923.019329581031</v>
      </c>
      <c r="C10" s="67">
        <v>71114.139329581027</v>
      </c>
      <c r="D10" s="67">
        <v>35243.050000000003</v>
      </c>
      <c r="E10" s="67"/>
      <c r="F10" s="67"/>
      <c r="G10" s="67"/>
      <c r="H10" s="68"/>
      <c r="I10" s="68"/>
      <c r="J10" s="68"/>
      <c r="K10" s="69"/>
      <c r="L10" s="69"/>
      <c r="M10" s="69"/>
      <c r="N10" s="70"/>
      <c r="O10" s="70"/>
      <c r="P10" s="70"/>
    </row>
    <row r="11" spans="1:16" x14ac:dyDescent="0.25">
      <c r="A11" s="1">
        <v>1994</v>
      </c>
      <c r="B11" s="67">
        <v>71165.443666663719</v>
      </c>
      <c r="C11" s="67">
        <v>72493.933666663725</v>
      </c>
      <c r="D11" s="67">
        <v>36076.85</v>
      </c>
      <c r="E11" s="67"/>
      <c r="F11" s="67"/>
      <c r="G11" s="67"/>
      <c r="H11" s="68"/>
      <c r="I11" s="68"/>
      <c r="J11" s="68"/>
      <c r="K11" s="69"/>
      <c r="L11" s="69"/>
      <c r="M11" s="69"/>
      <c r="N11" s="70"/>
      <c r="O11" s="70"/>
      <c r="P11" s="70"/>
    </row>
    <row r="12" spans="1:16" x14ac:dyDescent="0.25">
      <c r="A12" s="1">
        <v>1995</v>
      </c>
      <c r="B12" s="67">
        <v>71704.537229788548</v>
      </c>
      <c r="C12" s="67">
        <v>72585.927229788547</v>
      </c>
      <c r="D12" s="67">
        <v>36476.67</v>
      </c>
      <c r="E12" s="67"/>
      <c r="F12" s="67"/>
      <c r="G12" s="67"/>
      <c r="H12" s="68"/>
      <c r="I12" s="68"/>
      <c r="J12" s="68"/>
      <c r="K12" s="69"/>
      <c r="L12" s="69"/>
      <c r="M12" s="69"/>
      <c r="N12" s="70"/>
      <c r="O12" s="70"/>
      <c r="P12" s="70"/>
    </row>
    <row r="13" spans="1:16" x14ac:dyDescent="0.25">
      <c r="A13" s="1">
        <v>1996</v>
      </c>
      <c r="B13" s="67">
        <v>73919.380306138934</v>
      </c>
      <c r="C13" s="67">
        <v>73982.830306138931</v>
      </c>
      <c r="D13" s="67">
        <v>36895.65</v>
      </c>
      <c r="E13" s="67"/>
      <c r="F13" s="67"/>
      <c r="G13" s="67"/>
      <c r="H13" s="68"/>
      <c r="I13" s="68"/>
      <c r="J13" s="68"/>
      <c r="K13" s="69"/>
      <c r="L13" s="69"/>
      <c r="M13" s="69"/>
      <c r="N13" s="70"/>
      <c r="O13" s="70"/>
      <c r="P13" s="70"/>
    </row>
    <row r="14" spans="1:16" x14ac:dyDescent="0.25">
      <c r="A14" s="1">
        <v>1997</v>
      </c>
      <c r="B14" s="67">
        <v>76832.273675581993</v>
      </c>
      <c r="C14" s="67">
        <v>75512.633675581979</v>
      </c>
      <c r="D14" s="67">
        <v>37776.04</v>
      </c>
      <c r="E14" s="67"/>
      <c r="F14" s="67"/>
      <c r="G14" s="67"/>
      <c r="H14" s="68"/>
      <c r="I14" s="68"/>
      <c r="J14" s="68"/>
      <c r="K14" s="69"/>
      <c r="L14" s="69"/>
      <c r="M14" s="69"/>
      <c r="N14" s="70"/>
      <c r="O14" s="70"/>
      <c r="P14" s="70"/>
    </row>
    <row r="15" spans="1:16" x14ac:dyDescent="0.25">
      <c r="A15" s="1">
        <v>1998</v>
      </c>
      <c r="B15" s="67">
        <v>74579.406448373047</v>
      </c>
      <c r="C15" s="67">
        <v>71209.026448373043</v>
      </c>
      <c r="D15" s="67">
        <v>37083.56</v>
      </c>
      <c r="E15" s="67"/>
      <c r="F15" s="67"/>
      <c r="G15" s="67"/>
      <c r="H15" s="68"/>
      <c r="I15" s="68"/>
      <c r="J15" s="68"/>
      <c r="K15" s="69"/>
      <c r="L15" s="69"/>
      <c r="M15" s="69"/>
      <c r="N15" s="70"/>
      <c r="O15" s="70"/>
      <c r="P15" s="70"/>
    </row>
    <row r="16" spans="1:16" x14ac:dyDescent="0.25">
      <c r="A16" s="1">
        <v>1999</v>
      </c>
      <c r="B16" s="67">
        <v>76376.615402325231</v>
      </c>
      <c r="C16" s="67">
        <v>70476.955402325228</v>
      </c>
      <c r="D16" s="67">
        <v>37226.22</v>
      </c>
      <c r="E16" s="67"/>
      <c r="F16" s="67"/>
      <c r="G16" s="67"/>
      <c r="H16" s="68"/>
      <c r="I16" s="68"/>
      <c r="J16" s="68"/>
      <c r="K16" s="69"/>
      <c r="L16" s="69"/>
      <c r="M16" s="69"/>
      <c r="N16" s="70"/>
      <c r="O16" s="70"/>
      <c r="P16" s="70"/>
    </row>
    <row r="17" spans="1:16" x14ac:dyDescent="0.25">
      <c r="A17" s="1">
        <v>2000</v>
      </c>
      <c r="B17" s="67">
        <v>78308.8143932901</v>
      </c>
      <c r="C17" s="67">
        <v>72262.824393290095</v>
      </c>
      <c r="D17" s="67">
        <v>38131.4</v>
      </c>
      <c r="E17" s="67"/>
      <c r="F17" s="67"/>
      <c r="G17" s="67"/>
      <c r="H17" s="68"/>
      <c r="I17" s="68"/>
      <c r="J17" s="68"/>
      <c r="K17" s="69"/>
      <c r="L17" s="69"/>
      <c r="M17" s="69"/>
      <c r="N17" s="70"/>
      <c r="O17" s="70"/>
      <c r="P17" s="70"/>
    </row>
    <row r="18" spans="1:16" x14ac:dyDescent="0.25">
      <c r="A18" s="1">
        <v>2001</v>
      </c>
      <c r="B18" s="67">
        <v>81211.747688869713</v>
      </c>
      <c r="C18" s="67">
        <v>72651.057688869711</v>
      </c>
      <c r="D18" s="67">
        <v>38513.979999999996</v>
      </c>
      <c r="E18" s="67"/>
      <c r="F18" s="67"/>
      <c r="G18" s="67"/>
      <c r="H18" s="68"/>
      <c r="I18" s="68"/>
      <c r="J18" s="68"/>
      <c r="K18" s="69"/>
      <c r="L18" s="69"/>
      <c r="M18" s="69"/>
      <c r="N18" s="70"/>
      <c r="O18" s="70"/>
      <c r="P18" s="70"/>
    </row>
    <row r="19" spans="1:16" x14ac:dyDescent="0.25">
      <c r="A19" s="1">
        <v>2002</v>
      </c>
      <c r="B19" s="67">
        <v>81084.645355846194</v>
      </c>
      <c r="C19" s="67">
        <v>70594.605355846201</v>
      </c>
      <c r="D19" s="67">
        <v>38198.25</v>
      </c>
      <c r="E19" s="67"/>
      <c r="F19" s="67"/>
      <c r="G19" s="67"/>
      <c r="H19" s="68"/>
      <c r="I19" s="68"/>
      <c r="J19" s="68"/>
      <c r="K19" s="69"/>
      <c r="L19" s="69"/>
      <c r="M19" s="69"/>
      <c r="N19" s="70"/>
      <c r="O19" s="70"/>
      <c r="P19" s="70"/>
    </row>
    <row r="20" spans="1:16" x14ac:dyDescent="0.25">
      <c r="A20" s="1">
        <v>2003</v>
      </c>
      <c r="B20" s="67">
        <v>83206.259058898067</v>
      </c>
      <c r="C20" s="67">
        <v>72975.049058898061</v>
      </c>
      <c r="D20" s="67">
        <v>38521.17</v>
      </c>
      <c r="E20" s="67"/>
      <c r="F20" s="67"/>
      <c r="G20" s="67"/>
      <c r="H20" s="68"/>
      <c r="I20" s="68"/>
      <c r="J20" s="68"/>
      <c r="K20" s="69"/>
      <c r="L20" s="69"/>
      <c r="M20" s="69"/>
      <c r="N20" s="70"/>
      <c r="O20" s="70"/>
      <c r="P20" s="70"/>
    </row>
    <row r="21" spans="1:16" x14ac:dyDescent="0.25">
      <c r="A21" s="1">
        <v>2004</v>
      </c>
      <c r="B21" s="67">
        <v>83039.821131457677</v>
      </c>
      <c r="C21" s="67">
        <v>75081.641131457669</v>
      </c>
      <c r="D21" s="67">
        <v>38547.71</v>
      </c>
      <c r="E21" s="67"/>
      <c r="F21" s="67"/>
      <c r="G21" s="67"/>
      <c r="H21" s="68"/>
      <c r="I21" s="68"/>
      <c r="J21" s="68"/>
      <c r="K21" s="69"/>
      <c r="L21" s="69"/>
      <c r="M21" s="69"/>
      <c r="N21" s="70"/>
      <c r="O21" s="70"/>
      <c r="P21" s="70"/>
    </row>
    <row r="22" spans="1:16" x14ac:dyDescent="0.25">
      <c r="A22" s="1">
        <v>2005</v>
      </c>
      <c r="B22" s="67">
        <v>85157.11977532506</v>
      </c>
      <c r="C22" s="67">
        <v>81115.439775325067</v>
      </c>
      <c r="D22" s="67">
        <v>38842.200000000004</v>
      </c>
      <c r="E22" s="67"/>
      <c r="F22" s="67"/>
      <c r="G22" s="67"/>
      <c r="H22" s="68"/>
      <c r="I22" s="68"/>
      <c r="J22" s="68"/>
      <c r="K22" s="69"/>
      <c r="L22" s="69"/>
      <c r="M22" s="69"/>
      <c r="N22" s="70"/>
      <c r="O22" s="70"/>
      <c r="P22" s="70"/>
    </row>
    <row r="23" spans="1:16" x14ac:dyDescent="0.25">
      <c r="A23" s="1">
        <v>2006</v>
      </c>
      <c r="B23" s="67">
        <v>85227.976804484817</v>
      </c>
      <c r="C23" s="67">
        <v>83822.066804484813</v>
      </c>
      <c r="D23" s="67">
        <v>38739.58</v>
      </c>
      <c r="E23" s="67"/>
      <c r="F23" s="67"/>
      <c r="G23" s="67"/>
      <c r="H23" s="68"/>
      <c r="I23" s="68"/>
      <c r="J23" s="68"/>
      <c r="K23" s="69"/>
      <c r="L23" s="69"/>
      <c r="M23" s="69"/>
      <c r="N23" s="70"/>
      <c r="O23" s="70"/>
      <c r="P23" s="70"/>
    </row>
    <row r="24" spans="1:16" x14ac:dyDescent="0.25">
      <c r="A24" s="1">
        <v>2007</v>
      </c>
      <c r="B24" s="67">
        <v>83024.876431715602</v>
      </c>
      <c r="C24" s="67">
        <v>86011.336431715608</v>
      </c>
      <c r="D24" s="67">
        <v>37833.61</v>
      </c>
      <c r="E24" s="67"/>
      <c r="F24" s="67"/>
      <c r="G24" s="67"/>
      <c r="H24" s="68"/>
      <c r="I24" s="68"/>
      <c r="J24" s="68"/>
      <c r="K24" s="69"/>
      <c r="L24" s="69"/>
      <c r="M24" s="69"/>
      <c r="N24" s="70"/>
      <c r="O24" s="70"/>
      <c r="P24" s="70"/>
    </row>
    <row r="25" spans="1:16" x14ac:dyDescent="0.25">
      <c r="A25" s="1">
        <v>2008</v>
      </c>
      <c r="B25" s="67">
        <v>82522.403866052235</v>
      </c>
      <c r="C25" s="67">
        <v>68709.503866052226</v>
      </c>
      <c r="D25" s="67">
        <v>36414.57</v>
      </c>
      <c r="E25" s="67"/>
      <c r="F25" s="67"/>
      <c r="G25" s="67"/>
      <c r="H25" s="68"/>
      <c r="I25" s="68"/>
      <c r="J25" s="68"/>
      <c r="K25" s="69"/>
      <c r="L25" s="69"/>
      <c r="M25" s="69"/>
      <c r="N25" s="70"/>
      <c r="O25" s="70"/>
      <c r="P25" s="70"/>
    </row>
    <row r="26" spans="1:16" x14ac:dyDescent="0.25">
      <c r="A26" s="1">
        <v>2009</v>
      </c>
      <c r="B26" s="67">
        <v>79838.95543859429</v>
      </c>
      <c r="C26" s="67">
        <v>68056.765438594288</v>
      </c>
      <c r="D26" s="67">
        <v>36389.65</v>
      </c>
      <c r="E26" s="67"/>
      <c r="F26" s="67"/>
      <c r="G26" s="67"/>
      <c r="H26" s="68"/>
      <c r="I26" s="68"/>
      <c r="J26" s="68"/>
      <c r="K26" s="69"/>
      <c r="L26" s="69"/>
      <c r="M26" s="69"/>
      <c r="N26" s="70"/>
      <c r="O26" s="70"/>
      <c r="P26" s="70"/>
    </row>
    <row r="27" spans="1:16" x14ac:dyDescent="0.25">
      <c r="A27" s="1">
        <v>2010</v>
      </c>
      <c r="B27" s="67">
        <v>80535.754266557284</v>
      </c>
      <c r="C27" s="67">
        <v>68865.584266557285</v>
      </c>
      <c r="D27" s="67">
        <v>36426.01</v>
      </c>
      <c r="E27" s="67"/>
      <c r="F27" s="67"/>
      <c r="G27" s="67"/>
      <c r="H27" s="68"/>
      <c r="I27" s="68"/>
      <c r="J27" s="68"/>
      <c r="K27" s="69"/>
      <c r="L27" s="69"/>
      <c r="M27" s="69"/>
      <c r="N27" s="70"/>
      <c r="O27" s="70"/>
      <c r="P27" s="70"/>
    </row>
    <row r="28" spans="1:16" x14ac:dyDescent="0.25">
      <c r="A28" s="1">
        <v>2011</v>
      </c>
      <c r="B28" s="67">
        <v>80309.061429727255</v>
      </c>
      <c r="C28" s="67">
        <v>67530.021429727247</v>
      </c>
      <c r="D28" s="67">
        <v>36680.369999999995</v>
      </c>
      <c r="E28" s="67"/>
      <c r="F28" s="67"/>
      <c r="G28" s="67"/>
      <c r="H28" s="68"/>
      <c r="I28" s="68"/>
      <c r="J28" s="68"/>
      <c r="K28" s="69"/>
      <c r="L28" s="69"/>
      <c r="M28" s="69"/>
      <c r="N28" s="70"/>
      <c r="O28" s="70"/>
      <c r="P28" s="70"/>
    </row>
    <row r="29" spans="1:16" x14ac:dyDescent="0.25">
      <c r="A29" s="1">
        <v>2012</v>
      </c>
      <c r="B29" s="67">
        <v>82301.450042832817</v>
      </c>
      <c r="C29" s="67">
        <v>71264.490042832811</v>
      </c>
      <c r="D29" s="67">
        <v>37212.14</v>
      </c>
      <c r="E29" s="67"/>
      <c r="F29" s="67"/>
      <c r="G29" s="67"/>
      <c r="H29" s="68"/>
      <c r="I29" s="68"/>
      <c r="J29" s="68"/>
      <c r="K29" s="69"/>
      <c r="L29" s="69"/>
      <c r="M29" s="69"/>
      <c r="N29" s="70"/>
      <c r="O29" s="70"/>
      <c r="P29" s="70"/>
    </row>
    <row r="30" spans="1:16" x14ac:dyDescent="0.25">
      <c r="A30" s="1">
        <v>2013</v>
      </c>
      <c r="B30" s="67">
        <v>81638.370557350529</v>
      </c>
      <c r="C30" s="67">
        <v>72913.630557350523</v>
      </c>
      <c r="D30" s="67">
        <v>37405.360000000001</v>
      </c>
      <c r="E30" s="67"/>
      <c r="F30" s="67"/>
      <c r="G30" s="67"/>
      <c r="H30" s="68"/>
      <c r="I30" s="68"/>
      <c r="J30" s="68"/>
      <c r="K30" s="69"/>
      <c r="L30" s="69"/>
      <c r="M30" s="69"/>
      <c r="N30" s="70"/>
      <c r="O30" s="70"/>
      <c r="P30" s="70"/>
    </row>
    <row r="31" spans="1:16" x14ac:dyDescent="0.25">
      <c r="A31" s="1">
        <v>2014</v>
      </c>
      <c r="B31" s="67">
        <v>82425.271108330344</v>
      </c>
      <c r="C31" s="67">
        <v>71192.521108330344</v>
      </c>
      <c r="D31" s="67">
        <v>37659.160000000003</v>
      </c>
      <c r="E31" s="67"/>
      <c r="F31" s="67"/>
      <c r="G31" s="67"/>
      <c r="H31" s="68"/>
      <c r="I31" s="68"/>
      <c r="J31" s="68"/>
      <c r="K31" s="69"/>
      <c r="L31" s="69"/>
      <c r="M31" s="69"/>
      <c r="N31" s="70"/>
      <c r="O31" s="70"/>
      <c r="P31" s="70"/>
    </row>
    <row r="32" spans="1:16" x14ac:dyDescent="0.25">
      <c r="A32" s="1">
        <v>2015</v>
      </c>
      <c r="B32" s="67">
        <v>82189.367432610379</v>
      </c>
      <c r="C32" s="67">
        <v>70304.507432610379</v>
      </c>
      <c r="D32" s="67">
        <v>37098.130000000005</v>
      </c>
      <c r="E32" s="67"/>
      <c r="F32" s="67"/>
      <c r="G32" s="67"/>
      <c r="H32" s="68"/>
      <c r="I32" s="68"/>
      <c r="J32" s="68"/>
      <c r="K32" s="69"/>
      <c r="L32" s="69"/>
      <c r="M32" s="69"/>
      <c r="N32" s="70"/>
      <c r="O32" s="70"/>
      <c r="P32" s="70"/>
    </row>
    <row r="33" spans="1:16" x14ac:dyDescent="0.25">
      <c r="A33" s="1">
        <v>2016</v>
      </c>
      <c r="B33" s="67">
        <v>80014.710340656049</v>
      </c>
      <c r="C33" s="67">
        <v>68705.06034065604</v>
      </c>
      <c r="D33" s="67">
        <v>36620.770000000004</v>
      </c>
      <c r="E33" s="67"/>
      <c r="F33" s="67"/>
      <c r="G33" s="67"/>
      <c r="H33" s="68"/>
      <c r="I33" s="68"/>
      <c r="J33" s="68"/>
      <c r="K33" s="69"/>
      <c r="L33" s="69"/>
      <c r="M33" s="69"/>
      <c r="N33" s="70"/>
      <c r="O33" s="70"/>
      <c r="P33" s="70"/>
    </row>
    <row r="34" spans="1:16" x14ac:dyDescent="0.25">
      <c r="A34" s="1">
        <v>2017</v>
      </c>
      <c r="B34" s="67">
        <v>81574.594447830095</v>
      </c>
      <c r="C34" s="67">
        <v>71415.884447830089</v>
      </c>
      <c r="D34" s="67">
        <v>36710.870000000003</v>
      </c>
      <c r="E34" s="67"/>
      <c r="F34" s="67"/>
      <c r="G34" s="67"/>
      <c r="H34" s="68"/>
      <c r="I34" s="68"/>
      <c r="J34" s="68"/>
      <c r="K34" s="69"/>
      <c r="L34" s="69"/>
      <c r="M34" s="69"/>
      <c r="N34" s="70"/>
      <c r="O34" s="70"/>
      <c r="P34" s="70"/>
    </row>
    <row r="35" spans="1:16" x14ac:dyDescent="0.25">
      <c r="A35" s="1">
        <v>2018</v>
      </c>
      <c r="B35" s="67">
        <v>81827.541849438261</v>
      </c>
      <c r="C35" s="67">
        <v>71703.451849438265</v>
      </c>
      <c r="D35" s="67">
        <v>36822.44</v>
      </c>
      <c r="E35" s="67"/>
      <c r="F35" s="67"/>
      <c r="G35" s="67"/>
      <c r="H35" s="68"/>
      <c r="I35" s="68"/>
      <c r="J35" s="68"/>
      <c r="K35" s="69"/>
      <c r="L35" s="69"/>
      <c r="M35" s="69"/>
      <c r="N35" s="70"/>
      <c r="O35" s="70"/>
      <c r="P35" s="70"/>
    </row>
    <row r="36" spans="1:16" x14ac:dyDescent="0.25">
      <c r="A36" s="1">
        <v>2019</v>
      </c>
      <c r="B36" s="67">
        <v>83032.120874944114</v>
      </c>
      <c r="C36" s="67">
        <v>73829.480874944114</v>
      </c>
      <c r="D36" s="67">
        <v>36836.78</v>
      </c>
      <c r="E36" s="67"/>
      <c r="F36" s="67"/>
      <c r="G36" s="67"/>
      <c r="H36" s="68"/>
      <c r="I36" s="68"/>
      <c r="J36" s="68"/>
      <c r="K36" s="69"/>
      <c r="L36" s="69"/>
      <c r="M36" s="69"/>
      <c r="N36" s="70"/>
      <c r="O36" s="70"/>
      <c r="P36" s="70"/>
    </row>
    <row r="37" spans="1:16" x14ac:dyDescent="0.25">
      <c r="A37" s="1">
        <v>2020</v>
      </c>
      <c r="B37" s="67">
        <v>80342.465242686783</v>
      </c>
      <c r="C37" s="67">
        <v>72637.045242686785</v>
      </c>
      <c r="D37" s="67">
        <v>36694.843622</v>
      </c>
      <c r="E37" s="67"/>
      <c r="F37" s="67"/>
      <c r="G37" s="67"/>
      <c r="H37" s="68"/>
      <c r="I37" s="68"/>
      <c r="J37" s="68"/>
      <c r="K37" s="69"/>
      <c r="L37" s="69"/>
      <c r="M37" s="69"/>
      <c r="N37" s="70"/>
      <c r="O37" s="70"/>
      <c r="P37" s="70"/>
    </row>
    <row r="38" spans="1:16" x14ac:dyDescent="0.25">
      <c r="A38" s="1">
        <v>2021</v>
      </c>
      <c r="B38" s="67">
        <v>79809.54507601216</v>
      </c>
      <c r="C38" s="67">
        <v>72778.415076012156</v>
      </c>
      <c r="D38" s="67">
        <v>36293.530471999999</v>
      </c>
      <c r="E38" s="67"/>
      <c r="F38" s="67"/>
      <c r="G38" s="67"/>
      <c r="H38" s="68"/>
      <c r="I38" s="68"/>
      <c r="J38" s="68"/>
      <c r="K38" s="69"/>
      <c r="L38" s="69"/>
      <c r="M38" s="69"/>
      <c r="N38" s="70"/>
      <c r="O38" s="70"/>
      <c r="P38" s="70"/>
    </row>
    <row r="39" spans="1:16" x14ac:dyDescent="0.25">
      <c r="A39" s="1">
        <v>2022</v>
      </c>
      <c r="B39" s="67"/>
      <c r="C39" s="67"/>
      <c r="D39" s="67"/>
      <c r="E39" s="67">
        <v>76322.698318657</v>
      </c>
      <c r="F39" s="67">
        <v>70130.509041535406</v>
      </c>
      <c r="G39" s="67">
        <v>35835.555870034601</v>
      </c>
      <c r="H39" s="68">
        <v>75596.9207416024</v>
      </c>
      <c r="I39" s="68">
        <v>69404.731464480807</v>
      </c>
      <c r="J39" s="68">
        <v>35215.531954720303</v>
      </c>
      <c r="K39" s="69">
        <v>75666.730123052199</v>
      </c>
      <c r="L39" s="69">
        <v>69474.540845930504</v>
      </c>
      <c r="M39" s="69">
        <v>35272.947684751198</v>
      </c>
      <c r="N39" s="70">
        <v>75525.390991330598</v>
      </c>
      <c r="O39" s="70">
        <v>68876.059120609003</v>
      </c>
      <c r="P39" s="70">
        <v>35156.838996709303</v>
      </c>
    </row>
    <row r="40" spans="1:16" x14ac:dyDescent="0.25">
      <c r="A40" s="1">
        <v>2023</v>
      </c>
      <c r="B40" s="67"/>
      <c r="C40" s="67"/>
      <c r="D40" s="67"/>
      <c r="E40" s="67">
        <v>77617.672964396799</v>
      </c>
      <c r="F40" s="67">
        <v>71996.271513567699</v>
      </c>
      <c r="G40" s="67">
        <v>35233.893293750501</v>
      </c>
      <c r="H40" s="68">
        <v>77210.269002586894</v>
      </c>
      <c r="I40" s="68">
        <v>71588.867551757794</v>
      </c>
      <c r="J40" s="68">
        <v>34803.353794928698</v>
      </c>
      <c r="K40" s="69">
        <v>77156.5750176617</v>
      </c>
      <c r="L40" s="69">
        <v>71535.1735668326</v>
      </c>
      <c r="M40" s="69">
        <v>34916.413637186502</v>
      </c>
      <c r="N40" s="70">
        <v>76943.454805187896</v>
      </c>
      <c r="O40" s="70">
        <v>70866.029020758797</v>
      </c>
      <c r="P40" s="70">
        <v>34664.008968817601</v>
      </c>
    </row>
    <row r="41" spans="1:16" x14ac:dyDescent="0.25">
      <c r="A41" s="1">
        <v>2024</v>
      </c>
      <c r="B41" s="67"/>
      <c r="C41" s="67"/>
      <c r="D41" s="67"/>
      <c r="E41" s="67">
        <v>76237.325119330199</v>
      </c>
      <c r="F41" s="67">
        <v>70779.049547004397</v>
      </c>
      <c r="G41" s="67">
        <v>34752.224944387497</v>
      </c>
      <c r="H41" s="68">
        <v>75680.348189877899</v>
      </c>
      <c r="I41" s="68">
        <v>69683.468433238697</v>
      </c>
      <c r="J41" s="68">
        <v>34434.943618486199</v>
      </c>
      <c r="K41" s="69">
        <v>75587.725674635003</v>
      </c>
      <c r="L41" s="69">
        <v>69581.9531424366</v>
      </c>
      <c r="M41" s="69">
        <v>34632.0844444705</v>
      </c>
      <c r="N41" s="70">
        <v>75011.8194345058</v>
      </c>
      <c r="O41" s="70">
        <v>68663.136867002002</v>
      </c>
      <c r="P41" s="70">
        <v>34049.367721995899</v>
      </c>
    </row>
    <row r="42" spans="1:16" x14ac:dyDescent="0.25">
      <c r="A42" s="1">
        <v>2025</v>
      </c>
      <c r="B42" s="67"/>
      <c r="C42" s="67"/>
      <c r="D42" s="67"/>
      <c r="E42" s="67">
        <v>75025.977809319098</v>
      </c>
      <c r="F42" s="67">
        <v>68647.210340910999</v>
      </c>
      <c r="G42" s="67">
        <v>34269.004175333699</v>
      </c>
      <c r="H42" s="68">
        <v>73218.795114835899</v>
      </c>
      <c r="I42" s="68">
        <v>66492.514661684996</v>
      </c>
      <c r="J42" s="68">
        <v>33950.948243445702</v>
      </c>
      <c r="K42" s="69">
        <v>74281.847528990504</v>
      </c>
      <c r="L42" s="69">
        <v>67539.816726819598</v>
      </c>
      <c r="M42" s="69">
        <v>34235.652783024801</v>
      </c>
      <c r="N42" s="70">
        <v>71589.065892283601</v>
      </c>
      <c r="O42" s="70">
        <v>64371.324490164501</v>
      </c>
      <c r="P42" s="70">
        <v>33326.015936074698</v>
      </c>
    </row>
    <row r="43" spans="1:16" s="103" customFormat="1" x14ac:dyDescent="0.25">
      <c r="A43" s="98">
        <v>2026</v>
      </c>
      <c r="B43" s="99"/>
      <c r="C43" s="99"/>
      <c r="D43" s="99"/>
      <c r="E43" s="99">
        <v>74316.719931745596</v>
      </c>
      <c r="F43" s="99">
        <v>66484.403089832995</v>
      </c>
      <c r="G43" s="99">
        <v>33997.136677929397</v>
      </c>
      <c r="H43" s="100">
        <v>72135.251434788894</v>
      </c>
      <c r="I43" s="100">
        <v>63108.590481603802</v>
      </c>
      <c r="J43" s="100">
        <v>33528.9095147349</v>
      </c>
      <c r="K43" s="101">
        <v>73164.113553310701</v>
      </c>
      <c r="L43" s="101">
        <v>64984.635536716603</v>
      </c>
      <c r="M43" s="101">
        <v>33911.661983773098</v>
      </c>
      <c r="N43" s="102">
        <v>70196.932113989693</v>
      </c>
      <c r="O43" s="102">
        <v>61192.021701182202</v>
      </c>
      <c r="P43" s="102">
        <v>32671.2377919143</v>
      </c>
    </row>
    <row r="44" spans="1:16" x14ac:dyDescent="0.25">
      <c r="A44" s="1">
        <v>2027</v>
      </c>
      <c r="B44" s="67"/>
      <c r="C44" s="67"/>
      <c r="D44" s="67"/>
      <c r="E44" s="67">
        <v>72621.501938134898</v>
      </c>
      <c r="F44" s="67">
        <v>62798.404872146501</v>
      </c>
      <c r="G44" s="67">
        <v>33737.742566682697</v>
      </c>
      <c r="H44" s="68">
        <v>70094.998545853596</v>
      </c>
      <c r="I44" s="68">
        <v>59169.691874789503</v>
      </c>
      <c r="J44" s="68">
        <v>33134.642717528703</v>
      </c>
      <c r="K44" s="69">
        <v>71517.569964306895</v>
      </c>
      <c r="L44" s="69">
        <v>61489.21504486</v>
      </c>
      <c r="M44" s="69">
        <v>33597.219587006097</v>
      </c>
      <c r="N44" s="70">
        <v>67823.224448270703</v>
      </c>
      <c r="O44" s="70">
        <v>56560.321068114798</v>
      </c>
      <c r="P44" s="70">
        <v>32094.929750554998</v>
      </c>
    </row>
    <row r="45" spans="1:16" x14ac:dyDescent="0.25">
      <c r="A45" s="1">
        <v>2028</v>
      </c>
      <c r="B45" s="67"/>
      <c r="C45" s="67"/>
      <c r="D45" s="67"/>
      <c r="E45" s="67">
        <v>71981.294598569599</v>
      </c>
      <c r="F45" s="67">
        <v>59746.901703617201</v>
      </c>
      <c r="G45" s="67">
        <v>33508.914370986298</v>
      </c>
      <c r="H45" s="68">
        <v>68702.567664166098</v>
      </c>
      <c r="I45" s="68">
        <v>55597.311627353898</v>
      </c>
      <c r="J45" s="68">
        <v>32734.623294977799</v>
      </c>
      <c r="K45" s="69">
        <v>70449.119657567106</v>
      </c>
      <c r="L45" s="69">
        <v>58382.194650569203</v>
      </c>
      <c r="M45" s="69">
        <v>33276.9763514308</v>
      </c>
      <c r="N45" s="70">
        <v>66140.147574905393</v>
      </c>
      <c r="O45" s="70">
        <v>52130.560073683897</v>
      </c>
      <c r="P45" s="70">
        <v>31531.953222730699</v>
      </c>
    </row>
    <row r="46" spans="1:16" x14ac:dyDescent="0.25">
      <c r="A46" s="1">
        <v>2029</v>
      </c>
      <c r="B46" s="67"/>
      <c r="C46" s="67"/>
      <c r="D46" s="67"/>
      <c r="E46" s="67">
        <v>71209.083808744894</v>
      </c>
      <c r="F46" s="67">
        <v>56693.349796193601</v>
      </c>
      <c r="G46" s="67">
        <v>33287.445067574197</v>
      </c>
      <c r="H46" s="68">
        <v>67316.736362382493</v>
      </c>
      <c r="I46" s="68">
        <v>52048.477542887696</v>
      </c>
      <c r="J46" s="68">
        <v>32340.1204792391</v>
      </c>
      <c r="K46" s="69">
        <v>69374.658804656705</v>
      </c>
      <c r="L46" s="69">
        <v>55325.299141767297</v>
      </c>
      <c r="M46" s="69">
        <v>32962.475270425202</v>
      </c>
      <c r="N46" s="70">
        <v>64428.485375365402</v>
      </c>
      <c r="O46" s="70">
        <v>47658.644997591196</v>
      </c>
      <c r="P46" s="70">
        <v>30993.2958287158</v>
      </c>
    </row>
    <row r="47" spans="1:16" x14ac:dyDescent="0.25">
      <c r="A47" s="1">
        <v>2030</v>
      </c>
      <c r="B47" s="67"/>
      <c r="C47" s="67"/>
      <c r="D47" s="67"/>
      <c r="E47" s="67">
        <v>69500.238248070105</v>
      </c>
      <c r="F47" s="67">
        <v>53180.103467839101</v>
      </c>
      <c r="G47" s="67">
        <v>33074.904820945303</v>
      </c>
      <c r="H47" s="68">
        <v>64689.4771082101</v>
      </c>
      <c r="I47" s="68">
        <v>48561.567591546402</v>
      </c>
      <c r="J47" s="68">
        <v>31951.543398400099</v>
      </c>
      <c r="K47" s="69">
        <v>67300.480212422903</v>
      </c>
      <c r="L47" s="69">
        <v>52892.692308957798</v>
      </c>
      <c r="M47" s="69">
        <v>32654.670872824299</v>
      </c>
      <c r="N47" s="70">
        <v>61565.258732845599</v>
      </c>
      <c r="O47" s="70">
        <v>42760.147138595501</v>
      </c>
      <c r="P47" s="70">
        <v>30466.251538659501</v>
      </c>
    </row>
    <row r="48" spans="1:16" s="103" customFormat="1" x14ac:dyDescent="0.25">
      <c r="A48" s="98">
        <v>2031</v>
      </c>
      <c r="B48" s="99"/>
      <c r="C48" s="99"/>
      <c r="D48" s="99"/>
      <c r="E48" s="99">
        <v>68788.183185571397</v>
      </c>
      <c r="F48" s="99">
        <v>51546.745877134897</v>
      </c>
      <c r="G48" s="99">
        <v>32871.100795402097</v>
      </c>
      <c r="H48" s="100">
        <v>62591.042292710503</v>
      </c>
      <c r="I48" s="100">
        <v>46089.754378150399</v>
      </c>
      <c r="J48" s="100">
        <v>31435.560587745102</v>
      </c>
      <c r="K48" s="101">
        <v>65844.966851994395</v>
      </c>
      <c r="L48" s="101">
        <v>51693.805614093799</v>
      </c>
      <c r="M48" s="101">
        <v>32211.6511279396</v>
      </c>
      <c r="N48" s="102">
        <v>59239.784352028</v>
      </c>
      <c r="O48" s="102">
        <v>38919.847563062503</v>
      </c>
      <c r="P48" s="102">
        <v>29840.863928798499</v>
      </c>
    </row>
    <row r="49" spans="1:16" x14ac:dyDescent="0.25">
      <c r="A49" s="1">
        <v>2032</v>
      </c>
      <c r="B49" s="67"/>
      <c r="C49" s="67"/>
      <c r="D49" s="67"/>
      <c r="E49" s="67">
        <v>68029.659042769796</v>
      </c>
      <c r="F49" s="67">
        <v>50343.322097256001</v>
      </c>
      <c r="G49" s="67">
        <v>32680.440221149602</v>
      </c>
      <c r="H49" s="68">
        <v>60720.788488257298</v>
      </c>
      <c r="I49" s="68">
        <v>43431.623034968499</v>
      </c>
      <c r="J49" s="68">
        <v>30932.0382766927</v>
      </c>
      <c r="K49" s="69">
        <v>64466.554755389603</v>
      </c>
      <c r="L49" s="69">
        <v>49941.068088435102</v>
      </c>
      <c r="M49" s="69">
        <v>31785.462115565198</v>
      </c>
      <c r="N49" s="70">
        <v>57121.999219871803</v>
      </c>
      <c r="O49" s="70">
        <v>35699.877378720303</v>
      </c>
      <c r="P49" s="70">
        <v>29229.895869407301</v>
      </c>
    </row>
    <row r="50" spans="1:16" x14ac:dyDescent="0.25">
      <c r="A50" s="1">
        <v>2033</v>
      </c>
      <c r="B50" s="67"/>
      <c r="C50" s="67"/>
      <c r="D50" s="67"/>
      <c r="E50" s="67">
        <v>67222.946270912798</v>
      </c>
      <c r="F50" s="67">
        <v>48795.0971720378</v>
      </c>
      <c r="G50" s="67">
        <v>32498.664103770501</v>
      </c>
      <c r="H50" s="68">
        <v>58993.382532727301</v>
      </c>
      <c r="I50" s="68">
        <v>40934.035252581198</v>
      </c>
      <c r="J50" s="68">
        <v>30451.682080215302</v>
      </c>
      <c r="K50" s="69">
        <v>63053.262786164501</v>
      </c>
      <c r="L50" s="69">
        <v>48179.081707705896</v>
      </c>
      <c r="M50" s="69">
        <v>31360.6507091903</v>
      </c>
      <c r="N50" s="70">
        <v>55126.5230840437</v>
      </c>
      <c r="O50" s="70">
        <v>32870.135958660198</v>
      </c>
      <c r="P50" s="70">
        <v>28619.2050796002</v>
      </c>
    </row>
    <row r="51" spans="1:16" x14ac:dyDescent="0.25">
      <c r="A51" s="1">
        <v>2034</v>
      </c>
      <c r="B51" s="67"/>
      <c r="C51" s="67"/>
      <c r="D51" s="67"/>
      <c r="E51" s="67">
        <v>66557.756133090996</v>
      </c>
      <c r="F51" s="67">
        <v>47603.9348472169</v>
      </c>
      <c r="G51" s="67">
        <v>32422.903532082499</v>
      </c>
      <c r="H51" s="68">
        <v>57165.780401570199</v>
      </c>
      <c r="I51" s="68">
        <v>38363.600949759399</v>
      </c>
      <c r="J51" s="68">
        <v>29942.6477175359</v>
      </c>
      <c r="K51" s="69">
        <v>61541.375381783502</v>
      </c>
      <c r="L51" s="69">
        <v>46313.935843865198</v>
      </c>
      <c r="M51" s="69">
        <v>30916.403767619398</v>
      </c>
      <c r="N51" s="70">
        <v>53174.203965425797</v>
      </c>
      <c r="O51" s="70">
        <v>30396.536371129601</v>
      </c>
      <c r="P51" s="70">
        <v>27992.788685520401</v>
      </c>
    </row>
    <row r="52" spans="1:16" x14ac:dyDescent="0.25">
      <c r="A52" s="1">
        <v>2035</v>
      </c>
      <c r="B52" s="67"/>
      <c r="C52" s="67"/>
      <c r="D52" s="67"/>
      <c r="E52" s="67">
        <v>65908.447297869294</v>
      </c>
      <c r="F52" s="67">
        <v>46173.407272388999</v>
      </c>
      <c r="G52" s="67">
        <v>32376.7416662582</v>
      </c>
      <c r="H52" s="68">
        <v>55393.935549692796</v>
      </c>
      <c r="I52" s="68">
        <v>35682.022872907997</v>
      </c>
      <c r="J52" s="68">
        <v>29473.384998509198</v>
      </c>
      <c r="K52" s="69">
        <v>60121.779255006601</v>
      </c>
      <c r="L52" s="69">
        <v>44347.067256306698</v>
      </c>
      <c r="M52" s="69">
        <v>30499.7612207034</v>
      </c>
      <c r="N52" s="70">
        <v>50654.648348935902</v>
      </c>
      <c r="O52" s="70">
        <v>27354.1039389139</v>
      </c>
      <c r="P52" s="70">
        <v>27392.1746791326</v>
      </c>
    </row>
    <row r="53" spans="1:16" s="103" customFormat="1" x14ac:dyDescent="0.25">
      <c r="A53" s="98">
        <v>2036</v>
      </c>
      <c r="B53" s="99"/>
      <c r="C53" s="99"/>
      <c r="D53" s="99"/>
      <c r="E53" s="99">
        <v>65259.747173022603</v>
      </c>
      <c r="F53" s="99">
        <v>44287.609327870101</v>
      </c>
      <c r="G53" s="99">
        <v>32332.9029355323</v>
      </c>
      <c r="H53" s="100">
        <v>53697.229195446998</v>
      </c>
      <c r="I53" s="100">
        <v>32716.758898812099</v>
      </c>
      <c r="J53" s="100">
        <v>28915.444099343898</v>
      </c>
      <c r="K53" s="101">
        <v>58978.041554650801</v>
      </c>
      <c r="L53" s="101">
        <v>42296.664280555102</v>
      </c>
      <c r="M53" s="101">
        <v>30273.314754059498</v>
      </c>
      <c r="N53" s="102">
        <v>48803.682272183498</v>
      </c>
      <c r="O53" s="102">
        <v>24516.604866944199</v>
      </c>
      <c r="P53" s="102">
        <v>26773.437455080399</v>
      </c>
    </row>
    <row r="54" spans="1:16" x14ac:dyDescent="0.25">
      <c r="A54" s="1">
        <v>2037</v>
      </c>
      <c r="B54" s="67"/>
      <c r="C54" s="67"/>
      <c r="D54" s="67"/>
      <c r="E54" s="67">
        <v>64568.494718663504</v>
      </c>
      <c r="F54" s="67">
        <v>41314.579434380998</v>
      </c>
      <c r="G54" s="67">
        <v>32290.445663859799</v>
      </c>
      <c r="H54" s="68">
        <v>52001.116453549497</v>
      </c>
      <c r="I54" s="68">
        <v>29300.560527060399</v>
      </c>
      <c r="J54" s="68">
        <v>28356.132962388601</v>
      </c>
      <c r="K54" s="69">
        <v>57798.375933397998</v>
      </c>
      <c r="L54" s="69">
        <v>39287.438549201303</v>
      </c>
      <c r="M54" s="69">
        <v>30044.454322917401</v>
      </c>
      <c r="N54" s="70">
        <v>47081.104468819802</v>
      </c>
      <c r="O54" s="70">
        <v>21074.448387834</v>
      </c>
      <c r="P54" s="70">
        <v>26162.223015354299</v>
      </c>
    </row>
    <row r="55" spans="1:16" x14ac:dyDescent="0.25">
      <c r="A55" s="1">
        <v>2038</v>
      </c>
      <c r="B55" s="67"/>
      <c r="C55" s="67"/>
      <c r="D55" s="67"/>
      <c r="E55" s="67">
        <v>64048.519547912001</v>
      </c>
      <c r="F55" s="67">
        <v>39497.361223661799</v>
      </c>
      <c r="G55" s="67">
        <v>32252.6581651093</v>
      </c>
      <c r="H55" s="68">
        <v>50588.230423650501</v>
      </c>
      <c r="I55" s="68">
        <v>26753.197429248601</v>
      </c>
      <c r="J55" s="68">
        <v>27818.6938319365</v>
      </c>
      <c r="K55" s="69">
        <v>56821.507203736699</v>
      </c>
      <c r="L55" s="69">
        <v>37482.090708855998</v>
      </c>
      <c r="M55" s="69">
        <v>29821.840230638401</v>
      </c>
      <c r="N55" s="70">
        <v>45441.746950767403</v>
      </c>
      <c r="O55" s="70">
        <v>18159.850936078601</v>
      </c>
      <c r="P55" s="70">
        <v>25565.6859082581</v>
      </c>
    </row>
    <row r="56" spans="1:16" x14ac:dyDescent="0.25">
      <c r="A56" s="1">
        <v>2039</v>
      </c>
      <c r="B56" s="67"/>
      <c r="C56" s="67"/>
      <c r="D56" s="67"/>
      <c r="E56" s="67">
        <v>63500.882260785598</v>
      </c>
      <c r="F56" s="67">
        <v>37553.428092673901</v>
      </c>
      <c r="G56" s="67">
        <v>32214.780886553599</v>
      </c>
      <c r="H56" s="68">
        <v>49242.769819320099</v>
      </c>
      <c r="I56" s="68">
        <v>24189.717829257999</v>
      </c>
      <c r="J56" s="68">
        <v>27290.1153543338</v>
      </c>
      <c r="K56" s="69">
        <v>55833.325278487697</v>
      </c>
      <c r="L56" s="69">
        <v>35546.5802599054</v>
      </c>
      <c r="M56" s="69">
        <v>29599.988051885201</v>
      </c>
      <c r="N56" s="70">
        <v>43884.242538889099</v>
      </c>
      <c r="O56" s="70">
        <v>15186.2370339642</v>
      </c>
      <c r="P56" s="70">
        <v>24979.304157347298</v>
      </c>
    </row>
    <row r="57" spans="1:16" x14ac:dyDescent="0.25">
      <c r="A57" s="1">
        <v>2040</v>
      </c>
      <c r="B57" s="67"/>
      <c r="C57" s="67"/>
      <c r="D57" s="67"/>
      <c r="E57" s="67">
        <v>62022.254272768798</v>
      </c>
      <c r="F57" s="67">
        <v>34762.460360929603</v>
      </c>
      <c r="G57" s="67">
        <v>32177.562102332999</v>
      </c>
      <c r="H57" s="68">
        <v>47030.214341676903</v>
      </c>
      <c r="I57" s="68">
        <v>20868.4590884748</v>
      </c>
      <c r="J57" s="68">
        <v>26771.650480689201</v>
      </c>
      <c r="K57" s="69">
        <v>53949.078230089697</v>
      </c>
      <c r="L57" s="69">
        <v>32786.834488583903</v>
      </c>
      <c r="M57" s="69">
        <v>29380.447007701099</v>
      </c>
      <c r="N57" s="70">
        <v>41113.661072479103</v>
      </c>
      <c r="O57" s="70">
        <v>11093.373524054799</v>
      </c>
      <c r="P57" s="70">
        <v>24403.954194337701</v>
      </c>
    </row>
    <row r="58" spans="1:16" x14ac:dyDescent="0.25">
      <c r="A58" s="1">
        <v>2041</v>
      </c>
      <c r="B58" s="67"/>
      <c r="C58" s="67"/>
      <c r="D58" s="67"/>
      <c r="E58" s="67">
        <v>61419.954953369102</v>
      </c>
      <c r="F58" s="67">
        <v>32870.223850753602</v>
      </c>
      <c r="G58" s="67">
        <v>32143.701568565499</v>
      </c>
      <c r="H58" s="68">
        <v>45810.0342907171</v>
      </c>
      <c r="I58" s="68">
        <v>18614.9824588337</v>
      </c>
      <c r="J58" s="68">
        <v>26295.073742695498</v>
      </c>
      <c r="K58" s="69">
        <v>53053.625527771102</v>
      </c>
      <c r="L58" s="69">
        <v>31065.505174490201</v>
      </c>
      <c r="M58" s="69">
        <v>29219.309507185601</v>
      </c>
      <c r="N58" s="70">
        <v>39148.017479439797</v>
      </c>
      <c r="O58" s="70">
        <v>7867.37986446176</v>
      </c>
      <c r="P58" s="70">
        <v>23848.600548042501</v>
      </c>
    </row>
    <row r="59" spans="1:16" x14ac:dyDescent="0.25">
      <c r="A59" s="1">
        <v>2042</v>
      </c>
      <c r="B59" s="67"/>
      <c r="C59" s="67"/>
      <c r="D59" s="67"/>
      <c r="E59" s="67">
        <v>60855.965639009199</v>
      </c>
      <c r="F59" s="67">
        <v>31386.933148053799</v>
      </c>
      <c r="G59" s="67">
        <v>32113.755673092401</v>
      </c>
      <c r="H59" s="68">
        <v>44520.967786204499</v>
      </c>
      <c r="I59" s="68">
        <v>16682.494478649402</v>
      </c>
      <c r="J59" s="68">
        <v>25818.791590039898</v>
      </c>
      <c r="K59" s="69">
        <v>52147.742830631498</v>
      </c>
      <c r="L59" s="69">
        <v>29691.941107718802</v>
      </c>
      <c r="M59" s="69">
        <v>29058.238515555</v>
      </c>
      <c r="N59" s="70">
        <v>37460.652356796498</v>
      </c>
      <c r="O59" s="70">
        <v>5326.98289255087</v>
      </c>
      <c r="P59" s="70">
        <v>23303.828337311901</v>
      </c>
    </row>
    <row r="60" spans="1:16" x14ac:dyDescent="0.25">
      <c r="A60" s="1">
        <v>2043</v>
      </c>
      <c r="B60" s="67"/>
      <c r="C60" s="67"/>
      <c r="D60" s="67"/>
      <c r="E60" s="67">
        <v>60357.3993293518</v>
      </c>
      <c r="F60" s="67">
        <v>30509.8879706466</v>
      </c>
      <c r="G60" s="67">
        <v>32082.236172653898</v>
      </c>
      <c r="H60" s="68">
        <v>43507.306653229702</v>
      </c>
      <c r="I60" s="68">
        <v>15592.589468573</v>
      </c>
      <c r="J60" s="68">
        <v>25358.523125349599</v>
      </c>
      <c r="K60" s="69">
        <v>51328.812120419803</v>
      </c>
      <c r="L60" s="69">
        <v>28934.542172088899</v>
      </c>
      <c r="M60" s="69">
        <v>28899.9032827718</v>
      </c>
      <c r="N60" s="70">
        <v>35839.444837269497</v>
      </c>
      <c r="O60" s="70">
        <v>3434.9839635070598</v>
      </c>
      <c r="P60" s="70">
        <v>22771.733398037701</v>
      </c>
    </row>
    <row r="61" spans="1:16" x14ac:dyDescent="0.25">
      <c r="A61" s="1">
        <v>2044</v>
      </c>
      <c r="B61" s="67"/>
      <c r="C61" s="67"/>
      <c r="D61" s="67"/>
      <c r="E61" s="67">
        <v>59774.643807003697</v>
      </c>
      <c r="F61" s="67">
        <v>29885.786212645999</v>
      </c>
      <c r="G61" s="67">
        <v>32055.234246898901</v>
      </c>
      <c r="H61" s="68">
        <v>42464.233648745103</v>
      </c>
      <c r="I61" s="68">
        <v>14900.1174755583</v>
      </c>
      <c r="J61" s="68">
        <v>24907.5210609801</v>
      </c>
      <c r="K61" s="69">
        <v>50434.865066760402</v>
      </c>
      <c r="L61" s="69">
        <v>28504.997377895299</v>
      </c>
      <c r="M61" s="69">
        <v>28744.4893968055</v>
      </c>
      <c r="N61" s="70">
        <v>34425.372939027096</v>
      </c>
      <c r="O61" s="70">
        <v>2041.1860103645599</v>
      </c>
      <c r="P61" s="70">
        <v>22252.050567581198</v>
      </c>
    </row>
    <row r="62" spans="1:16" x14ac:dyDescent="0.25">
      <c r="A62" s="1">
        <v>2045</v>
      </c>
      <c r="B62" s="67"/>
      <c r="C62" s="67"/>
      <c r="D62" s="67"/>
      <c r="E62" s="67">
        <v>59328.794370819502</v>
      </c>
      <c r="F62" s="67">
        <v>30115.4253897173</v>
      </c>
      <c r="G62" s="67">
        <v>32028.3381653131</v>
      </c>
      <c r="H62" s="68">
        <v>41206.810189578799</v>
      </c>
      <c r="I62" s="68">
        <v>14664.9486818063</v>
      </c>
      <c r="J62" s="68">
        <v>24457.038631385902</v>
      </c>
      <c r="K62" s="69">
        <v>49812.096756145402</v>
      </c>
      <c r="L62" s="69">
        <v>28964.091896334801</v>
      </c>
      <c r="M62" s="69">
        <v>28589.5339311711</v>
      </c>
      <c r="N62" s="70">
        <v>33067.690319702502</v>
      </c>
      <c r="O62" s="70">
        <v>1421.5360897425701</v>
      </c>
      <c r="P62" s="70">
        <v>21742.664089642501</v>
      </c>
    </row>
    <row r="63" spans="1:16" x14ac:dyDescent="0.25">
      <c r="A63" s="1">
        <v>2046</v>
      </c>
      <c r="B63" s="67"/>
      <c r="C63" s="67"/>
      <c r="D63" s="67"/>
      <c r="E63" s="67">
        <v>58831.5344106665</v>
      </c>
      <c r="F63" s="67">
        <v>30399.541682820302</v>
      </c>
      <c r="G63" s="67">
        <v>32004.483036622602</v>
      </c>
      <c r="H63" s="68">
        <v>40219.446037391797</v>
      </c>
      <c r="I63" s="68">
        <v>14935.6956703747</v>
      </c>
      <c r="J63" s="68">
        <v>24031.3065164197</v>
      </c>
      <c r="K63" s="69">
        <v>49041.695654174997</v>
      </c>
      <c r="L63" s="69">
        <v>29491.647082483301</v>
      </c>
      <c r="M63" s="69">
        <v>28437.255999006498</v>
      </c>
      <c r="N63" s="70">
        <v>31893.705158836201</v>
      </c>
      <c r="O63" s="70">
        <v>1186.96770936348</v>
      </c>
      <c r="P63" s="70">
        <v>21253.440395288799</v>
      </c>
    </row>
    <row r="64" spans="1:16" x14ac:dyDescent="0.25">
      <c r="A64" s="1">
        <v>2047</v>
      </c>
      <c r="B64" s="67"/>
      <c r="C64" s="67"/>
      <c r="D64" s="67"/>
      <c r="E64" s="67">
        <v>58441.034948494802</v>
      </c>
      <c r="F64" s="67">
        <v>30797.712745499499</v>
      </c>
      <c r="G64" s="67">
        <v>31981.690895809301</v>
      </c>
      <c r="H64" s="68">
        <v>39316.958237209103</v>
      </c>
      <c r="I64" s="68">
        <v>14162.3378678354</v>
      </c>
      <c r="J64" s="68">
        <v>23614.911755396301</v>
      </c>
      <c r="K64" s="69">
        <v>48122.710586887297</v>
      </c>
      <c r="L64" s="69">
        <v>28315.1904365927</v>
      </c>
      <c r="M64" s="69">
        <v>28288.9131531768</v>
      </c>
      <c r="N64" s="70">
        <v>30803.7288338334</v>
      </c>
      <c r="O64" s="70">
        <v>830.26114113243602</v>
      </c>
      <c r="P64" s="70">
        <v>20776.784564790101</v>
      </c>
    </row>
    <row r="65" spans="1:16" x14ac:dyDescent="0.25">
      <c r="A65" s="1">
        <v>2048</v>
      </c>
      <c r="B65" s="67"/>
      <c r="C65" s="67"/>
      <c r="D65" s="67"/>
      <c r="E65" s="67">
        <v>58033.415122020997</v>
      </c>
      <c r="F65" s="67">
        <v>30292.030357585601</v>
      </c>
      <c r="G65" s="67">
        <v>31960.397693111601</v>
      </c>
      <c r="H65" s="68">
        <v>38326.0419434379</v>
      </c>
      <c r="I65" s="68">
        <v>13312.1427818921</v>
      </c>
      <c r="J65" s="68">
        <v>23201.826856969499</v>
      </c>
      <c r="K65" s="69">
        <v>47473.863342245</v>
      </c>
      <c r="L65" s="69">
        <v>27398.9872130564</v>
      </c>
      <c r="M65" s="69">
        <v>28137.476710499999</v>
      </c>
      <c r="N65" s="70">
        <v>29779.761811075401</v>
      </c>
      <c r="O65" s="70">
        <v>362.20159594064199</v>
      </c>
      <c r="P65" s="70">
        <v>20304.8883788844</v>
      </c>
    </row>
    <row r="66" spans="1:16" x14ac:dyDescent="0.25">
      <c r="A66" s="1">
        <v>2049</v>
      </c>
      <c r="B66" s="67"/>
      <c r="C66" s="67"/>
      <c r="D66" s="67"/>
      <c r="E66" s="67">
        <v>57590.075840593701</v>
      </c>
      <c r="F66" s="67">
        <v>29744.782736852601</v>
      </c>
      <c r="G66" s="67">
        <v>31944.324387211698</v>
      </c>
      <c r="H66" s="68">
        <v>37261.488659978699</v>
      </c>
      <c r="I66" s="68">
        <v>12459.6607272084</v>
      </c>
      <c r="J66" s="68">
        <v>22794.611940566301</v>
      </c>
      <c r="K66" s="69">
        <v>46796.495386534298</v>
      </c>
      <c r="L66" s="69">
        <v>26507.302740903699</v>
      </c>
      <c r="M66" s="69">
        <v>27992.284061283601</v>
      </c>
      <c r="N66" s="70">
        <v>28832.051845462</v>
      </c>
      <c r="O66" s="70">
        <v>-182.71306433902299</v>
      </c>
      <c r="P66" s="70">
        <v>19845.2926353439</v>
      </c>
    </row>
    <row r="67" spans="1:16" x14ac:dyDescent="0.25">
      <c r="A67" s="1">
        <v>2050</v>
      </c>
      <c r="B67" s="67"/>
      <c r="C67" s="67"/>
      <c r="D67" s="67"/>
      <c r="E67" s="67">
        <v>57234.221848989102</v>
      </c>
      <c r="F67" s="67">
        <v>29247.1687761502</v>
      </c>
      <c r="G67" s="67">
        <v>31924.570014201399</v>
      </c>
      <c r="H67" s="68">
        <v>36371.690098708401</v>
      </c>
      <c r="I67" s="68">
        <v>11897.908114669801</v>
      </c>
      <c r="J67" s="68">
        <v>22401.1306095623</v>
      </c>
      <c r="K67" s="69">
        <v>46021.091067183297</v>
      </c>
      <c r="L67" s="69">
        <v>25571.180723998099</v>
      </c>
      <c r="M67" s="69">
        <v>27848.973459519199</v>
      </c>
      <c r="N67" s="70">
        <v>27900.3771323984</v>
      </c>
      <c r="O67" s="70">
        <v>-820.98654874239605</v>
      </c>
      <c r="P67" s="70">
        <v>19394.176454603399</v>
      </c>
    </row>
    <row r="69" spans="1:16" ht="45" x14ac:dyDescent="0.25">
      <c r="A69" s="6" t="s">
        <v>33</v>
      </c>
      <c r="B69" s="11"/>
      <c r="C69" s="11"/>
      <c r="D69" s="11"/>
      <c r="E69" s="11"/>
      <c r="F69" s="11"/>
      <c r="G69" s="11"/>
      <c r="H69" s="11"/>
      <c r="I69" s="11">
        <f t="shared" ref="I69:O69" si="0">SUM(I48:I52)/1000</f>
        <v>204.50103648836748</v>
      </c>
      <c r="J69" s="11"/>
      <c r="K69" s="11"/>
      <c r="L69" s="11">
        <f t="shared" si="0"/>
        <v>240.47495851040674</v>
      </c>
      <c r="M69" s="11"/>
      <c r="N69" s="11"/>
      <c r="O69" s="11">
        <f t="shared" si="0"/>
        <v>165.24050121048649</v>
      </c>
      <c r="P69" s="11"/>
    </row>
  </sheetData>
  <mergeCells count="6">
    <mergeCell ref="K6:M6"/>
    <mergeCell ref="N6:P6"/>
    <mergeCell ref="A5:A6"/>
    <mergeCell ref="H6:J6"/>
    <mergeCell ref="E6:G6"/>
    <mergeCell ref="B6:D6"/>
  </mergeCells>
  <pageMargins left="0.7" right="0.7" top="0.75" bottom="0.75" header="0.3" footer="0.3"/>
  <pageSetup paperSize="8" scale="8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6A1F4-4A71-429C-88D9-6053F6EF3617}">
  <sheetPr codeName="Sheet4"/>
  <dimension ref="A1:R34"/>
  <sheetViews>
    <sheetView zoomScale="85" zoomScaleNormal="85" workbookViewId="0">
      <selection activeCell="C9" sqref="C9"/>
    </sheetView>
  </sheetViews>
  <sheetFormatPr defaultRowHeight="15" x14ac:dyDescent="0.25"/>
  <cols>
    <col min="1" max="1" width="62.42578125" customWidth="1"/>
    <col min="2" max="2" width="11.5703125" customWidth="1"/>
    <col min="3" max="3" width="11.140625" customWidth="1"/>
    <col min="4" max="4" width="10.28515625" customWidth="1"/>
    <col min="5" max="6" width="10.5703125" customWidth="1"/>
    <col min="8" max="8" width="11.140625" customWidth="1"/>
    <col min="9" max="9" width="9.7109375" customWidth="1"/>
    <col min="11" max="11" width="5" customWidth="1"/>
    <col min="13" max="13" width="10" bestFit="1" customWidth="1"/>
    <col min="15" max="15" width="10.140625" bestFit="1" customWidth="1"/>
    <col min="16" max="16" width="10.140625" customWidth="1"/>
    <col min="18" max="18" width="11.5703125" bestFit="1" customWidth="1"/>
    <col min="19" max="19" width="10.5703125" customWidth="1"/>
    <col min="21" max="21" width="12.140625" customWidth="1"/>
    <col min="22" max="22" width="10.5703125" customWidth="1"/>
    <col min="25" max="26" width="11.85546875" customWidth="1"/>
  </cols>
  <sheetData>
    <row r="1" spans="1:18" ht="31.5" x14ac:dyDescent="0.5">
      <c r="A1" s="23" t="s">
        <v>34</v>
      </c>
    </row>
    <row r="2" spans="1:18" ht="15" customHeight="1" x14ac:dyDescent="0.25"/>
    <row r="3" spans="1:18" ht="30" x14ac:dyDescent="0.25">
      <c r="A3" s="9" t="s">
        <v>35</v>
      </c>
      <c r="B3" s="89" t="s">
        <v>36</v>
      </c>
      <c r="C3" s="89" t="s">
        <v>37</v>
      </c>
      <c r="D3" s="14"/>
      <c r="E3" s="14"/>
      <c r="F3" s="14"/>
      <c r="G3" s="15"/>
    </row>
    <row r="4" spans="1:18" x14ac:dyDescent="0.25">
      <c r="A4" s="19" t="s">
        <v>38</v>
      </c>
      <c r="B4" s="18">
        <f>Gross_1990_updated</f>
        <v>67903.077546661458</v>
      </c>
      <c r="C4" s="18">
        <v>68336.06599015031</v>
      </c>
      <c r="D4" s="14"/>
      <c r="E4" s="14"/>
      <c r="F4" s="14"/>
      <c r="G4" s="15"/>
    </row>
    <row r="5" spans="1:18" x14ac:dyDescent="0.25">
      <c r="A5" s="19" t="s">
        <v>39</v>
      </c>
      <c r="B5" s="18">
        <f>Gross_2005_updated</f>
        <v>85157.11977532506</v>
      </c>
      <c r="C5" s="18">
        <v>85922.347532924017</v>
      </c>
      <c r="D5" s="14"/>
      <c r="E5" s="14"/>
      <c r="F5" s="14"/>
      <c r="G5" s="15"/>
    </row>
    <row r="6" spans="1:18" x14ac:dyDescent="0.25">
      <c r="A6" s="19" t="s">
        <v>40</v>
      </c>
      <c r="B6" s="18">
        <f>$B$4*0.95</f>
        <v>64507.923669328382</v>
      </c>
      <c r="C6" s="18">
        <v>64919.26269064279</v>
      </c>
      <c r="D6" s="16"/>
      <c r="E6" s="14"/>
      <c r="F6" s="14"/>
      <c r="G6" s="15"/>
    </row>
    <row r="7" spans="1:18" x14ac:dyDescent="0.25">
      <c r="A7" s="19" t="s">
        <v>41</v>
      </c>
      <c r="B7" s="18">
        <f>Net_2020_accounting</f>
        <v>72637.045242686785</v>
      </c>
      <c r="C7" s="18">
        <v>74354</v>
      </c>
      <c r="D7" s="16"/>
      <c r="E7" s="14"/>
      <c r="F7" s="14"/>
      <c r="G7" s="15"/>
    </row>
    <row r="8" spans="1:18" x14ac:dyDescent="0.25">
      <c r="A8" s="22" t="s">
        <v>42</v>
      </c>
      <c r="B8" s="95" t="s">
        <v>43</v>
      </c>
      <c r="C8" s="18">
        <v>50694</v>
      </c>
      <c r="D8" s="14"/>
      <c r="E8" s="14"/>
      <c r="F8" s="14"/>
      <c r="G8" s="15"/>
    </row>
    <row r="9" spans="1:18" x14ac:dyDescent="0.25">
      <c r="A9" s="22" t="s">
        <v>44</v>
      </c>
      <c r="B9" s="95" t="s">
        <v>43</v>
      </c>
      <c r="C9" s="18">
        <v>42961</v>
      </c>
      <c r="D9" s="58"/>
      <c r="E9" s="14"/>
      <c r="F9" s="14"/>
      <c r="G9" s="15"/>
    </row>
    <row r="10" spans="1:18" x14ac:dyDescent="0.25">
      <c r="A10" s="22" t="s">
        <v>45</v>
      </c>
      <c r="B10" s="95" t="s">
        <v>43</v>
      </c>
      <c r="C10" s="18">
        <v>571</v>
      </c>
      <c r="D10" s="77"/>
      <c r="E10" s="14"/>
      <c r="F10" s="14"/>
      <c r="G10" s="15"/>
      <c r="P10" s="34"/>
      <c r="Q10" s="34"/>
      <c r="R10" s="34"/>
    </row>
    <row r="11" spans="1:18" x14ac:dyDescent="0.25">
      <c r="A11" s="12"/>
      <c r="B11" s="77"/>
      <c r="C11" s="77"/>
      <c r="D11" s="77"/>
    </row>
    <row r="12" spans="1:18" x14ac:dyDescent="0.25">
      <c r="A12" s="28" t="s">
        <v>46</v>
      </c>
      <c r="B12" s="29"/>
      <c r="C12" s="29"/>
      <c r="D12" s="29"/>
    </row>
    <row r="13" spans="1:18" ht="75" x14ac:dyDescent="0.25">
      <c r="A13" s="35"/>
      <c r="B13" s="33" t="s">
        <v>47</v>
      </c>
      <c r="C13" s="33" t="s">
        <v>48</v>
      </c>
      <c r="D13" s="33" t="s">
        <v>49</v>
      </c>
      <c r="E13" s="33" t="s">
        <v>50</v>
      </c>
      <c r="F13" s="33" t="s">
        <v>51</v>
      </c>
    </row>
    <row r="14" spans="1:18" ht="15.75" thickBot="1" x14ac:dyDescent="0.3">
      <c r="A14" s="29" t="s">
        <v>52</v>
      </c>
      <c r="B14" s="110">
        <f>$C$10</f>
        <v>571</v>
      </c>
      <c r="C14" s="111">
        <v>-0.41</v>
      </c>
      <c r="D14" s="110">
        <f>$C$8</f>
        <v>50694</v>
      </c>
      <c r="E14" s="111">
        <v>-0.5</v>
      </c>
      <c r="F14" s="110">
        <f>$C$9</f>
        <v>42961</v>
      </c>
    </row>
    <row r="15" spans="1:18" ht="15.75" thickBot="1" x14ac:dyDescent="0.3">
      <c r="A15" s="30" t="s">
        <v>53</v>
      </c>
      <c r="B15" s="112">
        <f>((10*$B$6)+(5.5*(((1+$C$15)*$B$5)-$B$6)))/1000</f>
        <v>566.62051018290754</v>
      </c>
      <c r="C15" s="113">
        <v>-0.41</v>
      </c>
      <c r="D15" s="110">
        <f>(1+C15)*$B$5</f>
        <v>50242.700667441793</v>
      </c>
      <c r="E15" s="114">
        <f>((($B$15*1000-10*Net_2020_accounting)/5.5+Net_2020_accounting)/$B$5)-1</f>
        <v>-0.48810385657311317</v>
      </c>
      <c r="F15" s="110">
        <f>(1+E15)*$B$5</f>
        <v>43591.601198330376</v>
      </c>
    </row>
    <row r="16" spans="1:18" ht="15.75" thickBot="1" x14ac:dyDescent="0.3">
      <c r="A16" s="30" t="s">
        <v>54</v>
      </c>
      <c r="B16" s="112">
        <f>((10*$B$7)+(5.5*(((1+$E$16)*$B$5)-$B$7)))/1000</f>
        <v>561.04878297423431</v>
      </c>
      <c r="C16" s="114">
        <f>(((B16*1000-10*B6)/5.5+B6)/B5)-1</f>
        <v>-0.42189614342688686</v>
      </c>
      <c r="D16" s="110">
        <f>(1+C16)*$B$5</f>
        <v>49229.659356773933</v>
      </c>
      <c r="E16" s="113">
        <v>-0.5</v>
      </c>
      <c r="F16" s="110">
        <f>(1+E16)*$B$5</f>
        <v>42578.55988766253</v>
      </c>
      <c r="I16" s="72"/>
    </row>
    <row r="17" spans="1:8" x14ac:dyDescent="0.25">
      <c r="A17" s="115"/>
      <c r="B17" s="115"/>
      <c r="C17" s="115"/>
      <c r="D17" s="115"/>
    </row>
    <row r="18" spans="1:8" ht="30" x14ac:dyDescent="0.25">
      <c r="A18" s="116" t="s">
        <v>55</v>
      </c>
      <c r="B18" s="117"/>
      <c r="C18" s="118"/>
      <c r="D18" s="119"/>
    </row>
    <row r="19" spans="1:8" x14ac:dyDescent="0.25">
      <c r="A19" s="37"/>
      <c r="B19" s="151" t="s">
        <v>56</v>
      </c>
      <c r="C19" s="152"/>
      <c r="D19" s="31"/>
      <c r="E19" s="151" t="s">
        <v>57</v>
      </c>
      <c r="F19" s="152"/>
    </row>
    <row r="20" spans="1:8" ht="30" x14ac:dyDescent="0.25">
      <c r="A20" s="32" t="s">
        <v>58</v>
      </c>
      <c r="B20" s="79" t="s">
        <v>59</v>
      </c>
      <c r="C20" s="80" t="s">
        <v>60</v>
      </c>
      <c r="D20" s="32"/>
      <c r="E20" s="79" t="s">
        <v>59</v>
      </c>
      <c r="F20" s="80" t="s">
        <v>60</v>
      </c>
    </row>
    <row r="21" spans="1:8" x14ac:dyDescent="0.25">
      <c r="A21" s="30">
        <v>2020</v>
      </c>
      <c r="B21" s="81">
        <f>B6</f>
        <v>64507.923669328382</v>
      </c>
      <c r="C21" s="82">
        <f>Net_2020_accounting</f>
        <v>72637.045242686785</v>
      </c>
      <c r="D21" s="31"/>
      <c r="E21" s="81">
        <f>B6</f>
        <v>64507.923669328382</v>
      </c>
      <c r="F21" s="82">
        <f>B7</f>
        <v>72637.045242686785</v>
      </c>
    </row>
    <row r="22" spans="1:8" x14ac:dyDescent="0.25">
      <c r="A22" s="30">
        <v>2021</v>
      </c>
      <c r="B22" s="81">
        <f t="shared" ref="B22:B30" si="0">$B$21-((($B$21-$B$31)/COUNT($A$21:$A$30))*(A22-$A$21))</f>
        <v>63081.401369139727</v>
      </c>
      <c r="C22" s="82">
        <f>C$21-(((C$21-C$31)/COUNT($A$21:$A$30))*($A22-$A$21))</f>
        <v>69732.500838251144</v>
      </c>
      <c r="D22" s="31"/>
      <c r="E22" s="81">
        <f t="shared" ref="E22:F30" si="1">E$21-(((E$21-E$31)/COUNT($A$21:$A$30))*($A22-$A$21))</f>
        <v>62980.097238072936</v>
      </c>
      <c r="F22" s="82">
        <f t="shared" si="1"/>
        <v>69631.196707184354</v>
      </c>
    </row>
    <row r="23" spans="1:8" x14ac:dyDescent="0.25">
      <c r="A23" s="30">
        <v>2022</v>
      </c>
      <c r="B23" s="81">
        <f t="shared" si="0"/>
        <v>61654.879068951064</v>
      </c>
      <c r="C23" s="82">
        <f t="shared" ref="C23:C30" si="2">$C$21-((($C$21-$C$31)/COUNT($A$21:$A$30))*(A23-$A$21))</f>
        <v>66827.956433815503</v>
      </c>
      <c r="D23" s="31"/>
      <c r="E23" s="81">
        <f t="shared" si="1"/>
        <v>61452.270806817491</v>
      </c>
      <c r="F23" s="82">
        <f t="shared" si="1"/>
        <v>66625.348171681937</v>
      </c>
    </row>
    <row r="24" spans="1:8" x14ac:dyDescent="0.25">
      <c r="A24" s="30">
        <v>2023</v>
      </c>
      <c r="B24" s="81">
        <f t="shared" si="0"/>
        <v>60228.356768762402</v>
      </c>
      <c r="C24" s="82">
        <f t="shared" si="2"/>
        <v>63923.412029379862</v>
      </c>
      <c r="D24" s="31"/>
      <c r="E24" s="81">
        <f t="shared" si="1"/>
        <v>59924.444375562045</v>
      </c>
      <c r="F24" s="82">
        <f t="shared" si="1"/>
        <v>63619.499636179506</v>
      </c>
    </row>
    <row r="25" spans="1:8" x14ac:dyDescent="0.25">
      <c r="A25" s="30">
        <v>2024</v>
      </c>
      <c r="B25" s="81">
        <f t="shared" si="0"/>
        <v>58801.834468573747</v>
      </c>
      <c r="C25" s="82">
        <f t="shared" si="2"/>
        <v>61018.867624944221</v>
      </c>
      <c r="D25" s="38"/>
      <c r="E25" s="81">
        <f t="shared" si="1"/>
        <v>58396.617944306599</v>
      </c>
      <c r="F25" s="82">
        <f t="shared" si="1"/>
        <v>60613.651100677082</v>
      </c>
    </row>
    <row r="26" spans="1:8" x14ac:dyDescent="0.25">
      <c r="A26" s="30">
        <v>2025</v>
      </c>
      <c r="B26" s="81">
        <f t="shared" si="0"/>
        <v>57375.312168385091</v>
      </c>
      <c r="C26" s="82">
        <f t="shared" si="2"/>
        <v>58114.323220508581</v>
      </c>
      <c r="D26" s="38"/>
      <c r="E26" s="81">
        <f t="shared" si="1"/>
        <v>56868.791513051154</v>
      </c>
      <c r="F26" s="82">
        <f t="shared" si="1"/>
        <v>57607.802565174658</v>
      </c>
    </row>
    <row r="27" spans="1:8" x14ac:dyDescent="0.25">
      <c r="A27" s="30">
        <v>2026</v>
      </c>
      <c r="B27" s="81">
        <f t="shared" si="0"/>
        <v>55948.789868196429</v>
      </c>
      <c r="C27" s="82">
        <f t="shared" si="2"/>
        <v>55209.77881607294</v>
      </c>
      <c r="D27" s="31"/>
      <c r="E27" s="81">
        <f t="shared" si="1"/>
        <v>55340.965081795715</v>
      </c>
      <c r="F27" s="82">
        <f t="shared" si="1"/>
        <v>54601.954029672233</v>
      </c>
    </row>
    <row r="28" spans="1:8" x14ac:dyDescent="0.25">
      <c r="A28" s="30">
        <v>2027</v>
      </c>
      <c r="B28" s="81">
        <f t="shared" si="0"/>
        <v>54522.267568007766</v>
      </c>
      <c r="C28" s="82">
        <f t="shared" si="2"/>
        <v>52305.234411637299</v>
      </c>
      <c r="D28" s="85" t="s">
        <v>61</v>
      </c>
      <c r="E28" s="81">
        <f t="shared" si="1"/>
        <v>53813.13865054027</v>
      </c>
      <c r="F28" s="82">
        <f t="shared" si="1"/>
        <v>51596.105494169809</v>
      </c>
      <c r="G28" s="85" t="s">
        <v>61</v>
      </c>
    </row>
    <row r="29" spans="1:8" x14ac:dyDescent="0.25">
      <c r="A29" s="30">
        <v>2028</v>
      </c>
      <c r="B29" s="81">
        <f t="shared" si="0"/>
        <v>53095.745267819111</v>
      </c>
      <c r="C29" s="82">
        <f t="shared" si="2"/>
        <v>49400.690007201658</v>
      </c>
      <c r="D29" s="40" t="b">
        <f>B32=B15*1000</f>
        <v>1</v>
      </c>
      <c r="E29" s="81">
        <f t="shared" si="1"/>
        <v>52285.312219284824</v>
      </c>
      <c r="F29" s="82">
        <f t="shared" si="1"/>
        <v>48590.256958667378</v>
      </c>
      <c r="G29" s="40" t="b">
        <f>E32=B16*1000</f>
        <v>1</v>
      </c>
    </row>
    <row r="30" spans="1:8" x14ac:dyDescent="0.25">
      <c r="A30" s="30">
        <v>2029</v>
      </c>
      <c r="B30" s="81">
        <f t="shared" si="0"/>
        <v>51669.222967630456</v>
      </c>
      <c r="C30" s="82">
        <f t="shared" si="2"/>
        <v>46496.145602766017</v>
      </c>
      <c r="D30" s="59" t="b">
        <f>(1-(B31/B5))=-C15</f>
        <v>1</v>
      </c>
      <c r="E30" s="81">
        <f t="shared" si="1"/>
        <v>50757.485788029378</v>
      </c>
      <c r="F30" s="82">
        <f t="shared" si="1"/>
        <v>45584.408423164961</v>
      </c>
      <c r="G30" s="59" t="b">
        <f>(1-(E31/B5))=-C16</f>
        <v>1</v>
      </c>
    </row>
    <row r="31" spans="1:8" x14ac:dyDescent="0.25">
      <c r="A31" s="30">
        <v>2030</v>
      </c>
      <c r="B31" s="81">
        <f>D15</f>
        <v>50242.700667441793</v>
      </c>
      <c r="C31" s="82">
        <f>F15</f>
        <v>43591.601198330376</v>
      </c>
      <c r="D31" s="59" t="b">
        <f>($B$5-$C$31)/$B$5=-E15</f>
        <v>1</v>
      </c>
      <c r="E31" s="81">
        <f>D16</f>
        <v>49229.659356773933</v>
      </c>
      <c r="F31" s="82">
        <f>F16</f>
        <v>42578.55988766253</v>
      </c>
      <c r="G31" s="59" t="b">
        <f>($B$5-$F$31)/$B$5=-E16</f>
        <v>1</v>
      </c>
    </row>
    <row r="32" spans="1:8" x14ac:dyDescent="0.25">
      <c r="A32" s="78" t="s">
        <v>62</v>
      </c>
      <c r="B32" s="83">
        <f>SUM(B22:B31)</f>
        <v>566620.51018290757</v>
      </c>
      <c r="C32" s="84">
        <f>SUM(C22:C31)</f>
        <v>566620.51018290757</v>
      </c>
      <c r="D32" s="39" t="b">
        <f>ROUND(B32,6)=ROUND(C32,6)</f>
        <v>1</v>
      </c>
      <c r="E32" s="83">
        <f>SUM(E22:E31)</f>
        <v>561048.78297423432</v>
      </c>
      <c r="F32" s="84">
        <f>SUM(F22:F31)</f>
        <v>561048.78297423455</v>
      </c>
      <c r="G32" s="39" t="b">
        <f>ROUND(E32,6)=ROUND(F32,6)</f>
        <v>1</v>
      </c>
      <c r="H32" s="73"/>
    </row>
    <row r="33" spans="1:4" x14ac:dyDescent="0.25">
      <c r="A33" s="115"/>
      <c r="B33" s="120"/>
      <c r="C33" s="120"/>
      <c r="D33" s="119"/>
    </row>
    <row r="34" spans="1:4" x14ac:dyDescent="0.25">
      <c r="A34" s="115"/>
      <c r="B34" s="120"/>
      <c r="C34" s="119"/>
      <c r="D34" s="119"/>
    </row>
  </sheetData>
  <mergeCells count="2">
    <mergeCell ref="B19:C19"/>
    <mergeCell ref="E19:F19"/>
  </mergeCells>
  <pageMargins left="0.7" right="0.7" top="0.75" bottom="0.75" header="0.3" footer="0.3"/>
  <pageSetup paperSize="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75F9D-6CA5-4667-B3F6-A1A04FC94993}">
  <dimension ref="A2:W107"/>
  <sheetViews>
    <sheetView zoomScale="85" zoomScaleNormal="85" workbookViewId="0">
      <selection activeCell="F4" sqref="F4:N4"/>
    </sheetView>
  </sheetViews>
  <sheetFormatPr defaultRowHeight="15" x14ac:dyDescent="0.25"/>
  <cols>
    <col min="1" max="1" width="27.85546875" customWidth="1"/>
    <col min="2" max="2" width="22.85546875" customWidth="1"/>
    <col min="3" max="11" width="14.140625" customWidth="1"/>
    <col min="12" max="12" width="12.85546875" customWidth="1"/>
    <col min="13" max="13" width="11.85546875" customWidth="1"/>
    <col min="14" max="14" width="12.42578125" customWidth="1"/>
    <col min="15" max="17" width="12.28515625" customWidth="1"/>
  </cols>
  <sheetData>
    <row r="2" spans="2:17" ht="15.75" thickBot="1" x14ac:dyDescent="0.3"/>
    <row r="3" spans="2:17" ht="54.75" thickBot="1" x14ac:dyDescent="0.3">
      <c r="B3" s="42"/>
      <c r="C3" s="43" t="s">
        <v>63</v>
      </c>
      <c r="D3" s="43" t="s">
        <v>64</v>
      </c>
      <c r="E3" s="43" t="s">
        <v>65</v>
      </c>
      <c r="F3" s="122" t="s">
        <v>66</v>
      </c>
      <c r="G3" s="122" t="s">
        <v>67</v>
      </c>
      <c r="H3" s="122" t="s">
        <v>68</v>
      </c>
      <c r="I3" s="122" t="s">
        <v>66</v>
      </c>
      <c r="J3" s="122" t="s">
        <v>67</v>
      </c>
      <c r="K3" s="122" t="s">
        <v>68</v>
      </c>
      <c r="L3" s="122" t="s">
        <v>66</v>
      </c>
      <c r="M3" s="122" t="s">
        <v>67</v>
      </c>
      <c r="N3" s="122" t="s">
        <v>68</v>
      </c>
      <c r="O3" s="122" t="s">
        <v>66</v>
      </c>
      <c r="P3" s="122" t="s">
        <v>67</v>
      </c>
      <c r="Q3" s="122" t="s">
        <v>68</v>
      </c>
    </row>
    <row r="4" spans="2:17" ht="29.45" customHeight="1" thickBot="1" x14ac:dyDescent="0.3">
      <c r="B4" s="44"/>
      <c r="C4" s="45"/>
      <c r="D4" s="45"/>
      <c r="E4" s="46"/>
      <c r="F4" s="153" t="s">
        <v>69</v>
      </c>
      <c r="G4" s="154"/>
      <c r="H4" s="155"/>
      <c r="I4" s="153" t="s">
        <v>70</v>
      </c>
      <c r="J4" s="154"/>
      <c r="K4" s="155"/>
      <c r="L4" s="153" t="s">
        <v>71</v>
      </c>
      <c r="M4" s="154"/>
      <c r="N4" s="155"/>
      <c r="O4" s="153" t="s">
        <v>72</v>
      </c>
      <c r="P4" s="154"/>
      <c r="Q4" s="155"/>
    </row>
    <row r="5" spans="2:17" ht="45.75" thickBot="1" x14ac:dyDescent="0.3">
      <c r="B5" s="44"/>
      <c r="C5" s="45"/>
      <c r="D5" s="45"/>
      <c r="E5" s="96" t="s">
        <v>73</v>
      </c>
      <c r="F5" s="153" t="s">
        <v>74</v>
      </c>
      <c r="G5" s="154"/>
      <c r="H5" s="155"/>
      <c r="I5" s="153" t="s">
        <v>75</v>
      </c>
      <c r="J5" s="154"/>
      <c r="K5" s="155"/>
      <c r="L5" s="153" t="s">
        <v>76</v>
      </c>
      <c r="M5" s="154"/>
      <c r="N5" s="155"/>
      <c r="O5" s="153">
        <v>3</v>
      </c>
      <c r="P5" s="154"/>
      <c r="Q5" s="155"/>
    </row>
    <row r="6" spans="2:17" ht="15.75" thickBot="1" x14ac:dyDescent="0.3">
      <c r="B6" s="48" t="s">
        <v>77</v>
      </c>
      <c r="C6" s="50">
        <v>-0.5</v>
      </c>
      <c r="D6" s="50">
        <f>'NDC1'!E16</f>
        <v>-0.5</v>
      </c>
      <c r="E6" s="50">
        <f>'NDC1'!E15</f>
        <v>-0.48810385657311317</v>
      </c>
      <c r="F6" s="50">
        <f>H30</f>
        <v>-0.39502823753640048</v>
      </c>
      <c r="G6" s="50">
        <f t="shared" ref="G6:H6" si="0">I30</f>
        <v>-0.53584215153815529</v>
      </c>
      <c r="H6" s="50">
        <f t="shared" si="0"/>
        <v>-0.68952096462101631</v>
      </c>
      <c r="I6" s="50">
        <f t="shared" ref="I6:K8" si="1">H48</f>
        <v>-0.39203424154916744</v>
      </c>
      <c r="J6" s="50">
        <f t="shared" si="1"/>
        <v>-0.53284815555092213</v>
      </c>
      <c r="K6" s="50">
        <f t="shared" si="1"/>
        <v>-0.68652696863378337</v>
      </c>
      <c r="L6" s="50">
        <f t="shared" ref="L6:N8" si="2">H39</f>
        <v>-0.39996500383375877</v>
      </c>
      <c r="M6" s="50">
        <f t="shared" si="2"/>
        <v>-0.54077891783551346</v>
      </c>
      <c r="N6" s="50">
        <f t="shared" si="2"/>
        <v>-0.69445773091837459</v>
      </c>
      <c r="O6" s="50">
        <f>M30</f>
        <v>-0.47278014158671089</v>
      </c>
      <c r="P6" s="50">
        <f t="shared" ref="P6:Q6" si="3">N30</f>
        <v>-0.57968712583447324</v>
      </c>
      <c r="Q6" s="50">
        <f t="shared" si="3"/>
        <v>-0.68794855461048188</v>
      </c>
    </row>
    <row r="7" spans="2:17" ht="30.75" thickBot="1" x14ac:dyDescent="0.3">
      <c r="B7" s="49" t="s">
        <v>78</v>
      </c>
      <c r="C7" s="51">
        <f>'NDC1'!$C$7</f>
        <v>74354</v>
      </c>
      <c r="D7" s="51">
        <f>'NDC1'!C21</f>
        <v>72637.045242686785</v>
      </c>
      <c r="E7" s="51">
        <f>'NDC1'!C21</f>
        <v>72637.045242686785</v>
      </c>
      <c r="F7" s="51">
        <f t="shared" ref="F7:H7" si="4">H31</f>
        <v>42961</v>
      </c>
      <c r="G7" s="51">
        <f t="shared" si="4"/>
        <v>42961</v>
      </c>
      <c r="H7" s="51">
        <f t="shared" si="4"/>
        <v>42961</v>
      </c>
      <c r="I7" s="51">
        <f t="shared" si="1"/>
        <v>42578.55988766253</v>
      </c>
      <c r="J7" s="51">
        <f t="shared" si="1"/>
        <v>42578.55988766253</v>
      </c>
      <c r="K7" s="51">
        <f t="shared" si="1"/>
        <v>42578.55988766253</v>
      </c>
      <c r="L7" s="51">
        <f t="shared" si="2"/>
        <v>43591.601198330376</v>
      </c>
      <c r="M7" s="51">
        <f t="shared" si="2"/>
        <v>43591.601198330376</v>
      </c>
      <c r="N7" s="51">
        <f t="shared" si="2"/>
        <v>43591.601198330376</v>
      </c>
      <c r="O7" s="51">
        <f t="shared" ref="O7:Q7" si="5">M31</f>
        <v>52892.692308957798</v>
      </c>
      <c r="P7" s="51">
        <f t="shared" si="5"/>
        <v>48561.567591546402</v>
      </c>
      <c r="Q7" s="51">
        <f t="shared" si="5"/>
        <v>42760.147138595501</v>
      </c>
    </row>
    <row r="8" spans="2:17" ht="15.75" thickBot="1" x14ac:dyDescent="0.3">
      <c r="B8" s="49" t="s">
        <v>79</v>
      </c>
      <c r="C8" s="51">
        <f>'NDC1'!$C$9</f>
        <v>42961</v>
      </c>
      <c r="D8" s="51">
        <f>'NDC1'!$F$16</f>
        <v>42578.55988766253</v>
      </c>
      <c r="E8" s="51">
        <f>'NDC1'!$F$15</f>
        <v>43591.601198330376</v>
      </c>
      <c r="F8" s="51">
        <f t="shared" ref="F8:H8" si="6">H32</f>
        <v>51517.652836802241</v>
      </c>
      <c r="G8" s="51">
        <f t="shared" si="6"/>
        <v>39526.345496122492</v>
      </c>
      <c r="H8" s="51">
        <f t="shared" si="6"/>
        <v>26439.500403495495</v>
      </c>
      <c r="I8" s="51">
        <f t="shared" si="1"/>
        <v>51772.61291169389</v>
      </c>
      <c r="J8" s="51">
        <f t="shared" si="1"/>
        <v>39781.305571014142</v>
      </c>
      <c r="K8" s="51">
        <f t="shared" si="1"/>
        <v>26694.46047838714</v>
      </c>
      <c r="L8" s="51">
        <f t="shared" si="2"/>
        <v>51097.252037915321</v>
      </c>
      <c r="M8" s="51">
        <f t="shared" si="2"/>
        <v>39105.944697235573</v>
      </c>
      <c r="N8" s="51">
        <f t="shared" si="2"/>
        <v>26019.099604608578</v>
      </c>
      <c r="O8" s="51">
        <f t="shared" ref="O8:Q8" si="7">M32</f>
        <v>44896.524630830383</v>
      </c>
      <c r="P8" s="51">
        <f t="shared" si="7"/>
        <v>35792.633768424894</v>
      </c>
      <c r="Q8" s="51">
        <f t="shared" si="7"/>
        <v>26573.4023110985</v>
      </c>
    </row>
    <row r="9" spans="2:17" ht="15.75" thickBot="1" x14ac:dyDescent="0.3">
      <c r="B9" s="48"/>
      <c r="C9" s="52"/>
      <c r="D9" s="52"/>
      <c r="E9" s="97" t="s">
        <v>80</v>
      </c>
      <c r="F9" s="153" t="s">
        <v>81</v>
      </c>
      <c r="G9" s="154"/>
      <c r="H9" s="154"/>
      <c r="I9" s="154" t="s">
        <v>82</v>
      </c>
      <c r="J9" s="154"/>
      <c r="K9" s="154"/>
      <c r="L9" s="154" t="s">
        <v>83</v>
      </c>
      <c r="M9" s="154"/>
      <c r="N9" s="155"/>
      <c r="O9" s="55"/>
      <c r="P9" s="55"/>
      <c r="Q9" s="55"/>
    </row>
    <row r="10" spans="2:17" ht="15.75" thickBot="1" x14ac:dyDescent="0.3">
      <c r="B10" s="48" t="s">
        <v>84</v>
      </c>
      <c r="C10" s="50">
        <v>-0.41</v>
      </c>
      <c r="D10" s="50">
        <f>'NDC1'!C16</f>
        <v>-0.42189614342688686</v>
      </c>
      <c r="E10" s="50">
        <f>'NDC1'!C15</f>
        <v>-0.41</v>
      </c>
      <c r="F10" s="50">
        <f>C30</f>
        <v>-0.45556731338742684</v>
      </c>
      <c r="G10" s="50">
        <f t="shared" ref="G10:H10" si="8">D30</f>
        <v>-0.59638122738918153</v>
      </c>
      <c r="H10" s="50">
        <f t="shared" si="8"/>
        <v>-0.75006004047204267</v>
      </c>
      <c r="I10" s="50">
        <f>C48</f>
        <v>-0.44410347926457627</v>
      </c>
      <c r="J10" s="50">
        <f t="shared" ref="J10:K10" si="9">D48</f>
        <v>-0.58491739326633096</v>
      </c>
      <c r="K10" s="50">
        <f t="shared" si="9"/>
        <v>-0.73859620634919221</v>
      </c>
      <c r="L10" s="50">
        <f>C39</f>
        <v>-0.4520342415491676</v>
      </c>
      <c r="M10" s="50">
        <f t="shared" ref="M10:N10" si="10">D39</f>
        <v>-0.59284815555092218</v>
      </c>
      <c r="N10" s="50">
        <f t="shared" si="10"/>
        <v>-0.74652696863378343</v>
      </c>
      <c r="O10" s="75" t="s">
        <v>43</v>
      </c>
      <c r="P10" s="75" t="s">
        <v>43</v>
      </c>
      <c r="Q10" s="75" t="s">
        <v>43</v>
      </c>
    </row>
    <row r="11" spans="2:17" ht="30.75" thickBot="1" x14ac:dyDescent="0.3">
      <c r="B11" s="49" t="s">
        <v>78</v>
      </c>
      <c r="C11" s="51">
        <f>'NDC1'!$C$6</f>
        <v>64919.26269064279</v>
      </c>
      <c r="D11" s="51">
        <f>'NDC1'!B21</f>
        <v>64507.923669328382</v>
      </c>
      <c r="E11" s="51">
        <f>'NDC1'!B21</f>
        <v>64507.923669328382</v>
      </c>
      <c r="F11" s="51">
        <f t="shared" ref="F11:H11" si="11">C31</f>
        <v>50694</v>
      </c>
      <c r="G11" s="51">
        <f t="shared" si="11"/>
        <v>50694</v>
      </c>
      <c r="H11" s="51">
        <f t="shared" si="11"/>
        <v>50694</v>
      </c>
      <c r="I11" s="51">
        <f t="shared" ref="I11:K11" si="12">C49</f>
        <v>49229.659356773933</v>
      </c>
      <c r="J11" s="51">
        <f t="shared" si="12"/>
        <v>49229.659356773933</v>
      </c>
      <c r="K11" s="51">
        <f t="shared" si="12"/>
        <v>49229.659356773933</v>
      </c>
      <c r="L11" s="51">
        <f t="shared" ref="L11:N11" si="13">C40</f>
        <v>50242.700667441793</v>
      </c>
      <c r="M11" s="51">
        <f t="shared" si="13"/>
        <v>50242.700667441793</v>
      </c>
      <c r="N11" s="51">
        <f t="shared" si="13"/>
        <v>50242.700667441793</v>
      </c>
      <c r="O11" s="75" t="s">
        <v>43</v>
      </c>
      <c r="P11" s="75" t="s">
        <v>43</v>
      </c>
      <c r="Q11" s="75" t="s">
        <v>43</v>
      </c>
    </row>
    <row r="12" spans="2:17" ht="15.75" thickBot="1" x14ac:dyDescent="0.3">
      <c r="B12" s="49" t="s">
        <v>79</v>
      </c>
      <c r="C12" s="51">
        <f>'NDC1'!$C$8</f>
        <v>50694</v>
      </c>
      <c r="D12" s="51">
        <f>'NDC1'!$D$16</f>
        <v>49229.659356773933</v>
      </c>
      <c r="E12" s="51">
        <f>'NDC1'!$D$15</f>
        <v>50242.700667441793</v>
      </c>
      <c r="F12" s="51">
        <f t="shared" ref="F12:H12" si="14">C32</f>
        <v>46362.319503468905</v>
      </c>
      <c r="G12" s="51">
        <f t="shared" si="14"/>
        <v>34371.012162789157</v>
      </c>
      <c r="H12" s="51">
        <f t="shared" si="14"/>
        <v>21284.167070162162</v>
      </c>
      <c r="I12" s="51">
        <f t="shared" ref="I12:K12" si="15">C50</f>
        <v>47338.546598952948</v>
      </c>
      <c r="J12" s="51">
        <f t="shared" si="15"/>
        <v>35347.239258273199</v>
      </c>
      <c r="K12" s="51">
        <f t="shared" si="15"/>
        <v>22260.394165646201</v>
      </c>
      <c r="L12" s="51">
        <f t="shared" ref="L12:N12" si="16">C41</f>
        <v>46663.185725174379</v>
      </c>
      <c r="M12" s="51">
        <f t="shared" si="16"/>
        <v>34671.87838449463</v>
      </c>
      <c r="N12" s="51">
        <f t="shared" si="16"/>
        <v>21585.033291867632</v>
      </c>
      <c r="O12" s="75" t="s">
        <v>43</v>
      </c>
      <c r="P12" s="75" t="s">
        <v>43</v>
      </c>
      <c r="Q12" s="75" t="s">
        <v>43</v>
      </c>
    </row>
    <row r="13" spans="2:17" ht="15.75" thickBot="1" x14ac:dyDescent="0.3">
      <c r="B13" s="48"/>
      <c r="C13" s="52"/>
      <c r="D13" s="52"/>
      <c r="E13" s="54"/>
      <c r="F13" s="52"/>
      <c r="G13" s="52"/>
      <c r="H13" s="52"/>
      <c r="I13" s="51"/>
      <c r="J13" s="51"/>
      <c r="K13" s="51"/>
      <c r="L13" s="51"/>
      <c r="M13" s="51"/>
      <c r="N13" s="51"/>
      <c r="O13" s="55"/>
      <c r="P13" s="55"/>
      <c r="Q13" s="55"/>
    </row>
    <row r="14" spans="2:17" ht="15.75" thickBot="1" x14ac:dyDescent="0.3">
      <c r="B14" s="48" t="s">
        <v>85</v>
      </c>
      <c r="C14" s="52">
        <f>'NDC1'!$C$10</f>
        <v>571</v>
      </c>
      <c r="D14" s="53">
        <f>'NDC1'!B16</f>
        <v>561.04878297423431</v>
      </c>
      <c r="E14" s="53">
        <f>'NDC1'!B15</f>
        <v>566.62051018290754</v>
      </c>
      <c r="F14" s="53">
        <f>'NDC2 presentation'!$C$23</f>
        <v>240.47495851040674</v>
      </c>
      <c r="G14" s="53">
        <f>'NDC2 presentation'!$D$23</f>
        <v>204.50103648836748</v>
      </c>
      <c r="H14" s="53">
        <f>'NDC2 presentation'!$E$23</f>
        <v>165.24050121048649</v>
      </c>
      <c r="I14" s="53">
        <f>'NDC2 presentation'!$C$23</f>
        <v>240.47495851040674</v>
      </c>
      <c r="J14" s="53">
        <f>'NDC2 presentation'!$D$23</f>
        <v>204.50103648836748</v>
      </c>
      <c r="K14" s="53">
        <f>'NDC2 presentation'!$E$23</f>
        <v>165.24050121048649</v>
      </c>
      <c r="L14" s="53">
        <f>'NDC2 presentation'!$C$23</f>
        <v>240.47495851040674</v>
      </c>
      <c r="M14" s="53">
        <f>'NDC2 presentation'!$D$23</f>
        <v>204.50103648836748</v>
      </c>
      <c r="N14" s="53">
        <f>'NDC2 presentation'!$E$23</f>
        <v>165.24050121048649</v>
      </c>
      <c r="O14" s="53">
        <f>'NDC2 presentation'!$C$23</f>
        <v>240.47495851040674</v>
      </c>
      <c r="P14" s="53">
        <f>'NDC2 presentation'!$D$23</f>
        <v>204.50103648836748</v>
      </c>
      <c r="Q14" s="53">
        <f>'NDC2 presentation'!$E$23</f>
        <v>165.24050121048649</v>
      </c>
    </row>
    <row r="15" spans="2:17" ht="45.75" thickBot="1" x14ac:dyDescent="0.3">
      <c r="B15" s="48" t="s">
        <v>86</v>
      </c>
      <c r="C15" s="52">
        <f>C14/10</f>
        <v>57.1</v>
      </c>
      <c r="D15" s="71">
        <f t="shared" ref="D15:E15" si="17">D14/10</f>
        <v>56.104878297423433</v>
      </c>
      <c r="E15" s="71">
        <f t="shared" si="17"/>
        <v>56.662051018290754</v>
      </c>
      <c r="F15" s="71">
        <f>F14/5</f>
        <v>48.094991702081344</v>
      </c>
      <c r="G15" s="71">
        <f t="shared" ref="G15:Q15" si="18">G14/5</f>
        <v>40.900207297673496</v>
      </c>
      <c r="H15" s="71">
        <f t="shared" si="18"/>
        <v>33.048100242097298</v>
      </c>
      <c r="I15" s="71">
        <f t="shared" si="18"/>
        <v>48.094991702081344</v>
      </c>
      <c r="J15" s="71">
        <f t="shared" si="18"/>
        <v>40.900207297673496</v>
      </c>
      <c r="K15" s="71">
        <f t="shared" si="18"/>
        <v>33.048100242097298</v>
      </c>
      <c r="L15" s="71">
        <f t="shared" si="18"/>
        <v>48.094991702081344</v>
      </c>
      <c r="M15" s="71">
        <f t="shared" si="18"/>
        <v>40.900207297673496</v>
      </c>
      <c r="N15" s="71">
        <f t="shared" si="18"/>
        <v>33.048100242097298</v>
      </c>
      <c r="O15" s="71">
        <f t="shared" si="18"/>
        <v>48.094991702081344</v>
      </c>
      <c r="P15" s="71">
        <f t="shared" si="18"/>
        <v>40.900207297673496</v>
      </c>
      <c r="Q15" s="71">
        <f t="shared" si="18"/>
        <v>33.048100242097298</v>
      </c>
    </row>
    <row r="16" spans="2:17" ht="30.75" thickBot="1" x14ac:dyDescent="0.3">
      <c r="B16" s="47" t="s">
        <v>87</v>
      </c>
      <c r="C16" s="51">
        <f>'NDC1'!$C$5</f>
        <v>85922.347532924017</v>
      </c>
      <c r="D16" s="51">
        <f>'NDC1'!$B$5</f>
        <v>85157.11977532506</v>
      </c>
      <c r="E16" s="51">
        <f>'NDC1'!$B$5</f>
        <v>85157.11977532506</v>
      </c>
      <c r="F16" s="51">
        <f>'NDC1'!$B$5</f>
        <v>85157.11977532506</v>
      </c>
      <c r="G16" s="51">
        <f>'NDC1'!$B$5</f>
        <v>85157.11977532506</v>
      </c>
      <c r="H16" s="51">
        <f>'NDC1'!$B$5</f>
        <v>85157.11977532506</v>
      </c>
      <c r="I16" s="51">
        <f>'NDC1'!$B$5</f>
        <v>85157.11977532506</v>
      </c>
      <c r="J16" s="51">
        <f>'NDC1'!$B$5</f>
        <v>85157.11977532506</v>
      </c>
      <c r="K16" s="51">
        <f>'NDC1'!$B$5</f>
        <v>85157.11977532506</v>
      </c>
      <c r="L16" s="51">
        <f>'NDC1'!$B$5</f>
        <v>85157.11977532506</v>
      </c>
      <c r="M16" s="51">
        <f>'NDC1'!$B$5</f>
        <v>85157.11977532506</v>
      </c>
      <c r="N16" s="51">
        <f>'NDC1'!$B$5</f>
        <v>85157.11977532506</v>
      </c>
      <c r="O16" s="51">
        <f>'NDC1'!$B$5</f>
        <v>85157.11977532506</v>
      </c>
      <c r="P16" s="51">
        <f>'NDC1'!$B$5</f>
        <v>85157.11977532506</v>
      </c>
      <c r="Q16" s="51">
        <f>'NDC1'!$B$5</f>
        <v>85157.11977532506</v>
      </c>
    </row>
    <row r="17" spans="2:23" ht="30.75" thickBot="1" x14ac:dyDescent="0.3">
      <c r="B17" s="47" t="s">
        <v>88</v>
      </c>
      <c r="C17" s="51">
        <f>'NDC1'!C4</f>
        <v>68336.06599015031</v>
      </c>
      <c r="D17" s="51">
        <f>'NDC1'!$B$4</f>
        <v>67903.077546661458</v>
      </c>
      <c r="E17" s="51">
        <f>'NDC1'!$B$4</f>
        <v>67903.077546661458</v>
      </c>
      <c r="F17" s="76" t="s">
        <v>43</v>
      </c>
      <c r="G17" s="76" t="s">
        <v>43</v>
      </c>
      <c r="H17" s="76" t="s">
        <v>43</v>
      </c>
      <c r="I17" s="76" t="s">
        <v>43</v>
      </c>
      <c r="J17" s="76" t="s">
        <v>43</v>
      </c>
      <c r="K17" s="76" t="s">
        <v>43</v>
      </c>
      <c r="L17" s="76" t="s">
        <v>43</v>
      </c>
      <c r="M17" s="76" t="s">
        <v>43</v>
      </c>
      <c r="N17" s="76" t="s">
        <v>43</v>
      </c>
      <c r="O17" s="76" t="s">
        <v>43</v>
      </c>
      <c r="P17" s="76" t="s">
        <v>43</v>
      </c>
      <c r="Q17" s="76" t="s">
        <v>43</v>
      </c>
    </row>
    <row r="18" spans="2:23" x14ac:dyDescent="0.25">
      <c r="F18" s="72"/>
      <c r="G18" s="72"/>
      <c r="H18" s="72"/>
      <c r="I18" s="72"/>
      <c r="J18" s="72"/>
      <c r="K18" s="72"/>
      <c r="L18" s="72"/>
      <c r="M18" s="72"/>
      <c r="N18" s="72"/>
    </row>
    <row r="19" spans="2:23" x14ac:dyDescent="0.25">
      <c r="F19" s="72"/>
      <c r="G19" s="72"/>
      <c r="H19" s="72"/>
      <c r="I19" s="72"/>
      <c r="J19" s="72"/>
      <c r="K19" s="72"/>
      <c r="L19" s="72"/>
      <c r="M19" s="72"/>
      <c r="N19" s="72"/>
    </row>
    <row r="20" spans="2:23" x14ac:dyDescent="0.25">
      <c r="B20" s="56"/>
      <c r="F20" s="72"/>
      <c r="O20" s="74"/>
      <c r="P20" s="74"/>
      <c r="Q20" s="74"/>
      <c r="R20" s="74"/>
      <c r="S20" s="74"/>
      <c r="T20" s="74"/>
      <c r="U20" s="74"/>
      <c r="V20" s="74"/>
      <c r="W20" s="74"/>
    </row>
    <row r="21" spans="2:23" x14ac:dyDescent="0.25">
      <c r="F21" s="72"/>
    </row>
    <row r="22" spans="2:23" x14ac:dyDescent="0.25">
      <c r="B22" s="17"/>
      <c r="C22" s="13" t="s">
        <v>66</v>
      </c>
      <c r="D22" s="13" t="s">
        <v>89</v>
      </c>
      <c r="E22" s="13" t="s">
        <v>68</v>
      </c>
      <c r="F22" s="14"/>
      <c r="G22" s="15"/>
    </row>
    <row r="23" spans="2:23" x14ac:dyDescent="0.25">
      <c r="B23" s="92" t="s">
        <v>90</v>
      </c>
      <c r="C23" s="86">
        <f>SUM('Emissions data'!L48:L52)/1000</f>
        <v>240.47495851040674</v>
      </c>
      <c r="D23" s="86">
        <f>SUM('Emissions data'!I48:I52)/1000</f>
        <v>204.50103648836748</v>
      </c>
      <c r="E23" s="86">
        <f>SUM('Emissions data'!O48:O52)/1000</f>
        <v>165.24050121048649</v>
      </c>
      <c r="F23" s="14"/>
      <c r="G23" s="15"/>
    </row>
    <row r="24" spans="2:23" ht="30" x14ac:dyDescent="0.25">
      <c r="B24" s="93" t="s">
        <v>91</v>
      </c>
      <c r="C24" s="87">
        <f>Net_2030_accounting_LTLS</f>
        <v>52892.692308957798</v>
      </c>
      <c r="D24" s="87">
        <f>Net_2030_accounting_EB4Demo</f>
        <v>48561.567591546402</v>
      </c>
      <c r="E24" s="87">
        <f>Net_2030_accounting_HTHS</f>
        <v>42760.147138595501</v>
      </c>
      <c r="F24" s="14"/>
      <c r="G24" s="15"/>
    </row>
    <row r="26" spans="2:23" x14ac:dyDescent="0.25">
      <c r="B26" s="109" t="s">
        <v>92</v>
      </c>
    </row>
    <row r="27" spans="2:23" x14ac:dyDescent="0.25">
      <c r="B27" s="56" t="s">
        <v>93</v>
      </c>
      <c r="G27" s="56" t="s">
        <v>94</v>
      </c>
      <c r="L27" s="56" t="s">
        <v>95</v>
      </c>
    </row>
    <row r="28" spans="2:23" x14ac:dyDescent="0.25">
      <c r="B28" s="17"/>
      <c r="C28" s="13" t="s">
        <v>66</v>
      </c>
      <c r="D28" s="13" t="s">
        <v>89</v>
      </c>
      <c r="E28" s="13" t="s">
        <v>68</v>
      </c>
      <c r="H28" s="13" t="s">
        <v>66</v>
      </c>
      <c r="I28" s="13" t="s">
        <v>89</v>
      </c>
      <c r="J28" s="13" t="s">
        <v>68</v>
      </c>
      <c r="M28" s="13" t="s">
        <v>66</v>
      </c>
      <c r="N28" s="13" t="s">
        <v>89</v>
      </c>
      <c r="O28" s="13" t="s">
        <v>68</v>
      </c>
    </row>
    <row r="29" spans="2:23" ht="32.1" customHeight="1" x14ac:dyDescent="0.25">
      <c r="B29" s="156" t="s">
        <v>96</v>
      </c>
      <c r="C29" s="156"/>
      <c r="D29" s="156"/>
      <c r="E29" s="156"/>
      <c r="G29" s="156" t="s">
        <v>97</v>
      </c>
      <c r="H29" s="156"/>
      <c r="I29" s="156"/>
      <c r="J29" s="156"/>
      <c r="L29" s="156" t="s">
        <v>98</v>
      </c>
      <c r="M29" s="156"/>
      <c r="N29" s="156"/>
      <c r="O29" s="156"/>
    </row>
    <row r="30" spans="2:23" x14ac:dyDescent="0.25">
      <c r="B30" s="20" t="s">
        <v>99</v>
      </c>
      <c r="C30" s="20">
        <f>((C32/'NDC1'!$B$5)-1)</f>
        <v>-0.45556731338742684</v>
      </c>
      <c r="D30" s="20">
        <f>((D32/'NDC1'!$B$5)-1)</f>
        <v>-0.59638122738918153</v>
      </c>
      <c r="E30" s="20">
        <f>((E32/'NDC1'!$B$5)-1)</f>
        <v>-0.75006004047204267</v>
      </c>
      <c r="G30" s="20" t="s">
        <v>99</v>
      </c>
      <c r="H30" s="20">
        <f>((H32/'NDC1'!$B$5)-1)</f>
        <v>-0.39502823753640048</v>
      </c>
      <c r="I30" s="20">
        <f>((I32/'NDC1'!$B$5)-1)</f>
        <v>-0.53584215153815529</v>
      </c>
      <c r="J30" s="20">
        <f>((J32/'NDC1'!$B$5)-1)</f>
        <v>-0.68952096462101631</v>
      </c>
      <c r="L30" s="20" t="s">
        <v>99</v>
      </c>
      <c r="M30" s="20">
        <f>((M32/'NDC1'!$B$5)-1)</f>
        <v>-0.47278014158671089</v>
      </c>
      <c r="N30" s="20">
        <f>((N32/'NDC1'!$B$5)-1)</f>
        <v>-0.57968712583447324</v>
      </c>
      <c r="O30" s="20">
        <f>((O32/'NDC1'!$B$5)-1)</f>
        <v>-0.68794855461048188</v>
      </c>
    </row>
    <row r="31" spans="2:23" x14ac:dyDescent="0.25">
      <c r="B31" s="21" t="s">
        <v>100</v>
      </c>
      <c r="C31" s="57">
        <f>'NDC1'!$D$14</f>
        <v>50694</v>
      </c>
      <c r="D31" s="57">
        <f>'NDC1'!$D$14</f>
        <v>50694</v>
      </c>
      <c r="E31" s="57">
        <f>'NDC1'!$D$14</f>
        <v>50694</v>
      </c>
      <c r="G31" s="21" t="s">
        <v>100</v>
      </c>
      <c r="H31" s="57">
        <f>'NDC1'!$F$14</f>
        <v>42961</v>
      </c>
      <c r="I31" s="57">
        <f>'NDC1'!$F$14</f>
        <v>42961</v>
      </c>
      <c r="J31" s="57">
        <f>'NDC1'!$F$14</f>
        <v>42961</v>
      </c>
      <c r="L31" s="21" t="s">
        <v>100</v>
      </c>
      <c r="M31" s="57">
        <f>C24</f>
        <v>52892.692308957798</v>
      </c>
      <c r="N31" s="57">
        <f>D24</f>
        <v>48561.567591546402</v>
      </c>
      <c r="O31" s="57">
        <f>E24</f>
        <v>42760.147138595501</v>
      </c>
    </row>
    <row r="32" spans="2:23" x14ac:dyDescent="0.25">
      <c r="B32" s="21" t="s">
        <v>101</v>
      </c>
      <c r="C32" s="57">
        <f>(((C33*1000)-(5*C31))/3)+C31</f>
        <v>46362.319503468905</v>
      </c>
      <c r="D32" s="57">
        <f t="shared" ref="D32:E32" si="19">(((D33*1000)-(5*D31))/3)+D31</f>
        <v>34371.012162789157</v>
      </c>
      <c r="E32" s="57">
        <f t="shared" si="19"/>
        <v>21284.167070162162</v>
      </c>
      <c r="G32" s="21" t="s">
        <v>101</v>
      </c>
      <c r="H32" s="57">
        <f>(((H33*1000)-(5*H31))/3)+H31</f>
        <v>51517.652836802241</v>
      </c>
      <c r="I32" s="57">
        <f t="shared" ref="I32" si="20">(((I33*1000)-(5*I31))/3)+I31</f>
        <v>39526.345496122492</v>
      </c>
      <c r="J32" s="57">
        <f t="shared" ref="J32" si="21">(((J33*1000)-(5*J31))/3)+J31</f>
        <v>26439.500403495495</v>
      </c>
      <c r="L32" s="21" t="s">
        <v>101</v>
      </c>
      <c r="M32" s="57">
        <f>(((M33*1000)-(5*M31))/3)+M31</f>
        <v>44896.524630830383</v>
      </c>
      <c r="N32" s="57">
        <f t="shared" ref="N32" si="22">(((N33*1000)-(5*N31))/3)+N31</f>
        <v>35792.633768424894</v>
      </c>
      <c r="O32" s="57">
        <f t="shared" ref="O32" si="23">(((O33*1000)-(5*O31))/3)+O31</f>
        <v>26573.4023110985</v>
      </c>
    </row>
    <row r="33" spans="2:15" x14ac:dyDescent="0.25">
      <c r="B33" s="21" t="s">
        <v>102</v>
      </c>
      <c r="C33" s="57">
        <f>'NDC2 presentation'!$C$23</f>
        <v>240.47495851040674</v>
      </c>
      <c r="D33" s="57">
        <f>'NDC2 presentation'!$D$23</f>
        <v>204.50103648836748</v>
      </c>
      <c r="E33" s="57">
        <f>'NDC2 presentation'!$E$23</f>
        <v>165.24050121048649</v>
      </c>
      <c r="G33" s="21" t="s">
        <v>102</v>
      </c>
      <c r="H33" s="57">
        <f>'NDC2 presentation'!$C$23</f>
        <v>240.47495851040674</v>
      </c>
      <c r="I33" s="57">
        <f>'NDC2 presentation'!$D$23</f>
        <v>204.50103648836748</v>
      </c>
      <c r="J33" s="57">
        <f>'NDC2 presentation'!$E$23</f>
        <v>165.24050121048649</v>
      </c>
      <c r="L33" s="21" t="s">
        <v>102</v>
      </c>
      <c r="M33" s="57">
        <f>'NDC2 presentation'!$C$23</f>
        <v>240.47495851040674</v>
      </c>
      <c r="N33" s="57">
        <f>'NDC2 presentation'!$D$23</f>
        <v>204.50103648836748</v>
      </c>
      <c r="O33" s="57">
        <f>'NDC2 presentation'!$E$23</f>
        <v>165.24050121048649</v>
      </c>
    </row>
    <row r="36" spans="2:15" x14ac:dyDescent="0.25">
      <c r="B36" s="56" t="s">
        <v>103</v>
      </c>
      <c r="G36" s="56" t="s">
        <v>104</v>
      </c>
    </row>
    <row r="37" spans="2:15" x14ac:dyDescent="0.25">
      <c r="B37" s="17"/>
      <c r="C37" s="13" t="s">
        <v>66</v>
      </c>
      <c r="D37" s="13" t="s">
        <v>89</v>
      </c>
      <c r="E37" s="13" t="s">
        <v>68</v>
      </c>
      <c r="H37" s="13" t="s">
        <v>66</v>
      </c>
      <c r="I37" s="13" t="s">
        <v>89</v>
      </c>
      <c r="J37" s="13" t="s">
        <v>68</v>
      </c>
    </row>
    <row r="38" spans="2:15" ht="34.5" customHeight="1" x14ac:dyDescent="0.25">
      <c r="B38" s="156" t="s">
        <v>105</v>
      </c>
      <c r="C38" s="156"/>
      <c r="D38" s="156"/>
      <c r="E38" s="156"/>
      <c r="G38" s="156" t="s">
        <v>106</v>
      </c>
      <c r="H38" s="156"/>
      <c r="I38" s="156"/>
      <c r="J38" s="156"/>
    </row>
    <row r="39" spans="2:15" x14ac:dyDescent="0.25">
      <c r="B39" s="20" t="s">
        <v>99</v>
      </c>
      <c r="C39" s="20">
        <f>((C41/'NDC1'!$B$5)-1)</f>
        <v>-0.4520342415491676</v>
      </c>
      <c r="D39" s="20">
        <f>((D41/'NDC1'!$B$5)-1)</f>
        <v>-0.59284815555092218</v>
      </c>
      <c r="E39" s="20">
        <f>((E41/'NDC1'!$B$5)-1)</f>
        <v>-0.74652696863378343</v>
      </c>
      <c r="G39" s="20" t="s">
        <v>99</v>
      </c>
      <c r="H39" s="20">
        <f>((H41/'NDC1'!$B$5)-1)</f>
        <v>-0.39996500383375877</v>
      </c>
      <c r="I39" s="20">
        <f>((I41/'NDC1'!$B$5)-1)</f>
        <v>-0.54077891783551346</v>
      </c>
      <c r="J39" s="20">
        <f>((J41/'NDC1'!$B$5)-1)</f>
        <v>-0.69445773091837459</v>
      </c>
    </row>
    <row r="40" spans="2:15" x14ac:dyDescent="0.25">
      <c r="B40" s="21" t="s">
        <v>100</v>
      </c>
      <c r="C40" s="57">
        <f>'NDC1'!$D$15</f>
        <v>50242.700667441793</v>
      </c>
      <c r="D40" s="57">
        <f>'NDC1'!$D$15</f>
        <v>50242.700667441793</v>
      </c>
      <c r="E40" s="57">
        <f>'NDC1'!$D$15</f>
        <v>50242.700667441793</v>
      </c>
      <c r="G40" s="21" t="s">
        <v>100</v>
      </c>
      <c r="H40" s="57">
        <f>'NDC1'!$F$15</f>
        <v>43591.601198330376</v>
      </c>
      <c r="I40" s="57">
        <f>'NDC1'!$F$15</f>
        <v>43591.601198330376</v>
      </c>
      <c r="J40" s="57">
        <f>'NDC1'!$F$15</f>
        <v>43591.601198330376</v>
      </c>
    </row>
    <row r="41" spans="2:15" x14ac:dyDescent="0.25">
      <c r="B41" s="21" t="s">
        <v>101</v>
      </c>
      <c r="C41" s="57">
        <f>(((C42*1000)-(5*C40))/3)+C40</f>
        <v>46663.185725174379</v>
      </c>
      <c r="D41" s="57">
        <f t="shared" ref="D41" si="24">(((D42*1000)-(5*D40))/3)+D40</f>
        <v>34671.87838449463</v>
      </c>
      <c r="E41" s="57">
        <f t="shared" ref="E41" si="25">(((E42*1000)-(5*E40))/3)+E40</f>
        <v>21585.033291867632</v>
      </c>
      <c r="G41" s="21" t="s">
        <v>101</v>
      </c>
      <c r="H41" s="57">
        <f>(((H42*1000)-(5*H40))/3)+H40</f>
        <v>51097.252037915321</v>
      </c>
      <c r="I41" s="57">
        <f t="shared" ref="I41" si="26">(((I42*1000)-(5*I40))/3)+I40</f>
        <v>39105.944697235573</v>
      </c>
      <c r="J41" s="57">
        <f t="shared" ref="J41" si="27">(((J42*1000)-(5*J40))/3)+J40</f>
        <v>26019.099604608578</v>
      </c>
    </row>
    <row r="42" spans="2:15" x14ac:dyDescent="0.25">
      <c r="B42" s="21" t="s">
        <v>102</v>
      </c>
      <c r="C42" s="57">
        <f>'NDC2 presentation'!$C$23</f>
        <v>240.47495851040674</v>
      </c>
      <c r="D42" s="57">
        <f>'NDC2 presentation'!$D$23</f>
        <v>204.50103648836748</v>
      </c>
      <c r="E42" s="57">
        <f>'NDC2 presentation'!$E$23</f>
        <v>165.24050121048649</v>
      </c>
      <c r="G42" s="21" t="s">
        <v>102</v>
      </c>
      <c r="H42" s="57">
        <f>'NDC2 presentation'!$C$23</f>
        <v>240.47495851040674</v>
      </c>
      <c r="I42" s="57">
        <f>'NDC2 presentation'!$D$23</f>
        <v>204.50103648836748</v>
      </c>
      <c r="J42" s="57">
        <f>'NDC2 presentation'!$E$23</f>
        <v>165.24050121048649</v>
      </c>
    </row>
    <row r="45" spans="2:15" x14ac:dyDescent="0.25">
      <c r="B45" s="56" t="s">
        <v>107</v>
      </c>
      <c r="G45" s="56" t="s">
        <v>108</v>
      </c>
    </row>
    <row r="46" spans="2:15" x14ac:dyDescent="0.25">
      <c r="B46" s="17"/>
      <c r="C46" s="13" t="s">
        <v>66</v>
      </c>
      <c r="D46" s="13" t="s">
        <v>89</v>
      </c>
      <c r="E46" s="13" t="s">
        <v>68</v>
      </c>
      <c r="G46" s="17"/>
      <c r="H46" s="13" t="s">
        <v>66</v>
      </c>
      <c r="I46" s="13" t="s">
        <v>89</v>
      </c>
      <c r="J46" s="13" t="s">
        <v>68</v>
      </c>
    </row>
    <row r="47" spans="2:15" ht="33.950000000000003" customHeight="1" x14ac:dyDescent="0.25">
      <c r="B47" s="156" t="s">
        <v>109</v>
      </c>
      <c r="C47" s="156"/>
      <c r="D47" s="156"/>
      <c r="E47" s="156"/>
      <c r="G47" s="156" t="s">
        <v>110</v>
      </c>
      <c r="H47" s="156"/>
      <c r="I47" s="156"/>
      <c r="J47" s="156"/>
    </row>
    <row r="48" spans="2:15" x14ac:dyDescent="0.25">
      <c r="B48" s="20" t="s">
        <v>99</v>
      </c>
      <c r="C48" s="20">
        <f>((C50/'NDC1'!$B$5)-1)</f>
        <v>-0.44410347926457627</v>
      </c>
      <c r="D48" s="20">
        <f>((D50/'NDC1'!$B$5)-1)</f>
        <v>-0.58491739326633096</v>
      </c>
      <c r="E48" s="20">
        <f>((E50/'NDC1'!$B$5)-1)</f>
        <v>-0.73859620634919221</v>
      </c>
      <c r="G48" s="20" t="s">
        <v>99</v>
      </c>
      <c r="H48" s="20">
        <f>((H50/'NDC1'!$B$5)-1)</f>
        <v>-0.39203424154916744</v>
      </c>
      <c r="I48" s="20">
        <f>((I50/'NDC1'!$B$5)-1)</f>
        <v>-0.53284815555092213</v>
      </c>
      <c r="J48" s="20">
        <f>((J50/'NDC1'!$B$5)-1)</f>
        <v>-0.68652696863378337</v>
      </c>
    </row>
    <row r="49" spans="1:10" x14ac:dyDescent="0.25">
      <c r="B49" s="21" t="s">
        <v>100</v>
      </c>
      <c r="C49" s="57">
        <f>'NDC1'!$D$16</f>
        <v>49229.659356773933</v>
      </c>
      <c r="D49" s="57">
        <f>'NDC1'!$D$16</f>
        <v>49229.659356773933</v>
      </c>
      <c r="E49" s="57">
        <f>'NDC1'!$D$16</f>
        <v>49229.659356773933</v>
      </c>
      <c r="G49" s="21" t="s">
        <v>100</v>
      </c>
      <c r="H49" s="57">
        <f>'NDC1'!$F$16</f>
        <v>42578.55988766253</v>
      </c>
      <c r="I49" s="57">
        <f>'NDC1'!$F$16</f>
        <v>42578.55988766253</v>
      </c>
      <c r="J49" s="57">
        <f>'NDC1'!$F$16</f>
        <v>42578.55988766253</v>
      </c>
    </row>
    <row r="50" spans="1:10" x14ac:dyDescent="0.25">
      <c r="B50" s="21" t="s">
        <v>101</v>
      </c>
      <c r="C50" s="57">
        <f>(((C51*1000)-(5*C49))/3)+C49</f>
        <v>47338.546598952948</v>
      </c>
      <c r="D50" s="57">
        <f t="shared" ref="D50" si="28">(((D51*1000)-(5*D49))/3)+D49</f>
        <v>35347.239258273199</v>
      </c>
      <c r="E50" s="57">
        <f t="shared" ref="E50" si="29">(((E51*1000)-(5*E49))/3)+E49</f>
        <v>22260.394165646201</v>
      </c>
      <c r="G50" s="21" t="s">
        <v>101</v>
      </c>
      <c r="H50" s="57">
        <f>(((H51*1000)-(5*H49))/3)+H49</f>
        <v>51772.61291169389</v>
      </c>
      <c r="I50" s="57">
        <f t="shared" ref="I50" si="30">(((I51*1000)-(5*I49))/3)+I49</f>
        <v>39781.305571014142</v>
      </c>
      <c r="J50" s="57">
        <f t="shared" ref="J50" si="31">(((J51*1000)-(5*J49))/3)+J49</f>
        <v>26694.46047838714</v>
      </c>
    </row>
    <row r="51" spans="1:10" x14ac:dyDescent="0.25">
      <c r="B51" s="21" t="s">
        <v>102</v>
      </c>
      <c r="C51" s="57">
        <f>'NDC2 presentation'!$C$23</f>
        <v>240.47495851040674</v>
      </c>
      <c r="D51" s="57">
        <f>'NDC2 presentation'!$D$23</f>
        <v>204.50103648836748</v>
      </c>
      <c r="E51" s="57">
        <f>'NDC2 presentation'!$E$23</f>
        <v>165.24050121048649</v>
      </c>
      <c r="G51" s="21" t="s">
        <v>102</v>
      </c>
      <c r="H51" s="57">
        <f>'NDC2 presentation'!$C$23</f>
        <v>240.47495851040674</v>
      </c>
      <c r="I51" s="57">
        <f>'NDC2 presentation'!$D$23</f>
        <v>204.50103648836748</v>
      </c>
      <c r="J51" s="57">
        <f>'NDC2 presentation'!$E$23</f>
        <v>165.24050121048649</v>
      </c>
    </row>
    <row r="53" spans="1:10" x14ac:dyDescent="0.25">
      <c r="A53" s="56" t="s">
        <v>111</v>
      </c>
    </row>
    <row r="55" spans="1:10" x14ac:dyDescent="0.25">
      <c r="A55" s="36" t="s">
        <v>112</v>
      </c>
      <c r="B55" s="62"/>
    </row>
    <row r="56" spans="1:10" x14ac:dyDescent="0.25">
      <c r="A56" s="61">
        <v>2030</v>
      </c>
      <c r="B56" s="62">
        <f>D31</f>
        <v>50694</v>
      </c>
    </row>
    <row r="57" spans="1:10" x14ac:dyDescent="0.25">
      <c r="A57" s="61">
        <v>2031</v>
      </c>
      <c r="B57" s="62">
        <f>B56+($B$61-$B$56)/COUNTA($A$57:$A$61)</f>
        <v>47429.402432557828</v>
      </c>
    </row>
    <row r="58" spans="1:10" x14ac:dyDescent="0.25">
      <c r="A58" s="61">
        <v>2032</v>
      </c>
      <c r="B58" s="62">
        <f t="shared" ref="B58:B60" si="32">B57+($B$61-$B$56)/COUNTA($A$57:$A$61)</f>
        <v>44164.804865115657</v>
      </c>
    </row>
    <row r="59" spans="1:10" x14ac:dyDescent="0.25">
      <c r="A59" s="61">
        <v>2033</v>
      </c>
      <c r="B59" s="62">
        <f t="shared" si="32"/>
        <v>40900.207297673485</v>
      </c>
    </row>
    <row r="60" spans="1:10" x14ac:dyDescent="0.25">
      <c r="A60" s="61">
        <v>2034</v>
      </c>
      <c r="B60" s="62">
        <f t="shared" si="32"/>
        <v>37635.609730231314</v>
      </c>
      <c r="C60" s="28" t="s">
        <v>113</v>
      </c>
    </row>
    <row r="61" spans="1:10" x14ac:dyDescent="0.25">
      <c r="A61" s="61">
        <v>2035</v>
      </c>
      <c r="B61" s="62">
        <f>D32</f>
        <v>34371.012162789157</v>
      </c>
      <c r="C61" s="121" t="b">
        <f>(1-B61/'NDC1'!B5)=-D30</f>
        <v>1</v>
      </c>
      <c r="D61" s="88"/>
    </row>
    <row r="62" spans="1:10" x14ac:dyDescent="0.25">
      <c r="A62" s="90" t="s">
        <v>114</v>
      </c>
      <c r="B62" s="91">
        <f>SUM(B57:B61)</f>
        <v>204501.03648836742</v>
      </c>
      <c r="C62" s="29" t="b">
        <f>B62/1000=D33</f>
        <v>1</v>
      </c>
    </row>
    <row r="85" spans="2:5" x14ac:dyDescent="0.25">
      <c r="B85" s="32" t="s">
        <v>58</v>
      </c>
      <c r="C85" s="32" t="s">
        <v>115</v>
      </c>
      <c r="D85" s="32" t="s">
        <v>60</v>
      </c>
      <c r="E85" s="32"/>
    </row>
    <row r="86" spans="2:5" x14ac:dyDescent="0.25">
      <c r="B86" s="30">
        <v>2020</v>
      </c>
      <c r="C86" s="38">
        <f>'NDC1'!B21</f>
        <v>64507.923669328382</v>
      </c>
      <c r="D86" s="38">
        <f>Net_2020_accounting</f>
        <v>72637.045242686785</v>
      </c>
      <c r="E86" s="31"/>
    </row>
    <row r="87" spans="2:5" x14ac:dyDescent="0.25">
      <c r="B87" s="30">
        <v>2021</v>
      </c>
      <c r="C87" s="38">
        <f t="shared" ref="C87:C95" si="33">$C$86-((($C$86-$C$96)/COUNT($B$86:$B$95))*(B87-$B$86))</f>
        <v>63081.401369139727</v>
      </c>
      <c r="D87" s="38">
        <f t="shared" ref="D87:D95" si="34">$D$86-((($D$86-$D$96)/COUNT($B$86:$B$95))*(B87-$B$86))</f>
        <v>69732.509744016454</v>
      </c>
      <c r="E87" s="31"/>
    </row>
    <row r="88" spans="2:5" x14ac:dyDescent="0.25">
      <c r="B88" s="30">
        <v>2022</v>
      </c>
      <c r="C88" s="38">
        <f t="shared" si="33"/>
        <v>61654.879068951064</v>
      </c>
      <c r="D88" s="38">
        <f t="shared" si="34"/>
        <v>66827.974245346122</v>
      </c>
      <c r="E88" s="31"/>
    </row>
    <row r="89" spans="2:5" x14ac:dyDescent="0.25">
      <c r="B89" s="30">
        <v>2023</v>
      </c>
      <c r="C89" s="38">
        <f t="shared" si="33"/>
        <v>60228.356768762402</v>
      </c>
      <c r="D89" s="38">
        <f t="shared" si="34"/>
        <v>63923.438746675798</v>
      </c>
      <c r="E89" s="31"/>
    </row>
    <row r="90" spans="2:5" x14ac:dyDescent="0.25">
      <c r="B90" s="30">
        <v>2024</v>
      </c>
      <c r="C90" s="38">
        <f t="shared" si="33"/>
        <v>58801.834468573747</v>
      </c>
      <c r="D90" s="38">
        <f t="shared" si="34"/>
        <v>61018.903248005467</v>
      </c>
      <c r="E90" s="38"/>
    </row>
    <row r="91" spans="2:5" x14ac:dyDescent="0.25">
      <c r="B91" s="30">
        <v>2025</v>
      </c>
      <c r="C91" s="38">
        <f t="shared" si="33"/>
        <v>57375.312168385091</v>
      </c>
      <c r="D91" s="38">
        <f t="shared" si="34"/>
        <v>58114.367749335142</v>
      </c>
      <c r="E91" s="38"/>
    </row>
    <row r="92" spans="2:5" x14ac:dyDescent="0.25">
      <c r="B92" s="30">
        <v>2026</v>
      </c>
      <c r="C92" s="38">
        <f t="shared" si="33"/>
        <v>55948.789868196429</v>
      </c>
      <c r="D92" s="38">
        <f t="shared" si="34"/>
        <v>55209.832250664811</v>
      </c>
      <c r="E92" s="31"/>
    </row>
    <row r="93" spans="2:5" x14ac:dyDescent="0.25">
      <c r="B93" s="30">
        <v>2027</v>
      </c>
      <c r="C93" s="38">
        <f t="shared" si="33"/>
        <v>54522.267568007766</v>
      </c>
      <c r="D93" s="38">
        <f t="shared" si="34"/>
        <v>52305.29675199448</v>
      </c>
      <c r="E93" s="41" t="s">
        <v>61</v>
      </c>
    </row>
    <row r="94" spans="2:5" x14ac:dyDescent="0.25">
      <c r="B94" s="30">
        <v>2028</v>
      </c>
      <c r="C94" s="38">
        <f t="shared" si="33"/>
        <v>53095.745267819111</v>
      </c>
      <c r="D94" s="38">
        <f t="shared" si="34"/>
        <v>49400.761253324148</v>
      </c>
      <c r="E94" s="40">
        <f>SUM(C87:C96)/1000</f>
        <v>566.62051018290754</v>
      </c>
    </row>
    <row r="95" spans="2:5" x14ac:dyDescent="0.25">
      <c r="B95" s="30">
        <v>2029</v>
      </c>
      <c r="C95" s="38">
        <f t="shared" si="33"/>
        <v>51669.222967630456</v>
      </c>
      <c r="D95" s="38">
        <f t="shared" si="34"/>
        <v>46496.225754653824</v>
      </c>
      <c r="E95" s="59">
        <f>1-(C96/'NDC1'!B5)</f>
        <v>0.40999999999999992</v>
      </c>
    </row>
    <row r="96" spans="2:5" x14ac:dyDescent="0.25">
      <c r="B96" s="30">
        <v>2030</v>
      </c>
      <c r="C96" s="38">
        <f>'NDC1'!$B$5*(1-41%)</f>
        <v>50242.700667441793</v>
      </c>
      <c r="D96" s="38">
        <v>43591.690255983493</v>
      </c>
      <c r="E96" s="39">
        <f>1-(D96/'NDC1'!B5)</f>
        <v>0.48810281076915285</v>
      </c>
    </row>
    <row r="97" spans="2:5" ht="15.75" thickBot="1" x14ac:dyDescent="0.3">
      <c r="C97" s="60">
        <f>SUM(C87:C96)</f>
        <v>566620.51018290757</v>
      </c>
      <c r="D97" s="60">
        <f>SUM(D87:D96)</f>
        <v>566620.99999999965</v>
      </c>
    </row>
    <row r="98" spans="2:5" ht="15.75" thickTop="1" x14ac:dyDescent="0.25">
      <c r="B98" s="36" t="s">
        <v>112</v>
      </c>
      <c r="C98" s="36" t="s">
        <v>89</v>
      </c>
      <c r="D98" s="36" t="s">
        <v>66</v>
      </c>
      <c r="E98" s="36" t="s">
        <v>68</v>
      </c>
    </row>
    <row r="99" spans="2:5" x14ac:dyDescent="0.25">
      <c r="B99" s="61">
        <v>2030</v>
      </c>
      <c r="C99" s="62">
        <f>C96</f>
        <v>50242.700667441793</v>
      </c>
      <c r="D99" s="62">
        <f>C96</f>
        <v>50242.700667441793</v>
      </c>
      <c r="E99" s="62">
        <f>C96</f>
        <v>50242.700667441793</v>
      </c>
    </row>
    <row r="100" spans="2:5" x14ac:dyDescent="0.25">
      <c r="B100" s="61">
        <v>2031</v>
      </c>
      <c r="C100" s="62">
        <f>$C$99-((($C$99-$C$104)/COUNT($B$99:$B$103))*(B100-$B$99))</f>
        <v>47128.533778294528</v>
      </c>
      <c r="D100" s="62">
        <f>$D$99-((($D$99-$D$104)/COUNT($B$99:$B$103))*(B100-$B$99))</f>
        <v>49526.800444961191</v>
      </c>
      <c r="E100" s="62">
        <f>$E$99-((($E$99-$E$104)/COUNT($B$99:$B$103))*(B100-$B$99))</f>
        <v>44511.200444961192</v>
      </c>
    </row>
    <row r="101" spans="2:5" x14ac:dyDescent="0.25">
      <c r="B101" s="61">
        <v>2032</v>
      </c>
      <c r="C101" s="62">
        <f>$C$99-((($C$99-$C$104)/COUNT($B$99:$B$103))*(B101-$B$99))</f>
        <v>44014.366889147255</v>
      </c>
      <c r="D101" s="62">
        <f>$D$99-((($D$99-$D$104)/COUNT($B$99:$B$103))*(B101-$B$99))</f>
        <v>48810.900222480588</v>
      </c>
      <c r="E101" s="62">
        <f>$E$99-((($E$99-$E$104)/COUNT($B$99:$B$103))*(B101-$B$99))</f>
        <v>38779.700222480591</v>
      </c>
    </row>
    <row r="102" spans="2:5" x14ac:dyDescent="0.25">
      <c r="B102" s="61">
        <v>2033</v>
      </c>
      <c r="C102" s="62">
        <f>$C$99-((($C$99-$C$104)/COUNT($B$99:$B$103))*(B102-$B$99))</f>
        <v>40900.19999999999</v>
      </c>
      <c r="D102" s="62">
        <f>$D$99-((($D$99-$D$104)/COUNT($B$99:$B$103))*(B102-$B$99))</f>
        <v>48094.999999999993</v>
      </c>
      <c r="E102" s="62">
        <f>$E$99-((($E$99-$E$104)/COUNT($B$99:$B$103))*(B102-$B$99))</f>
        <v>33048.19999999999</v>
      </c>
    </row>
    <row r="103" spans="2:5" x14ac:dyDescent="0.25">
      <c r="B103" s="61">
        <v>2034</v>
      </c>
      <c r="C103" s="62">
        <f>$C$99-((($C$99-$C$104)/COUNT($B$99:$B$103))*(B103-$B$99))</f>
        <v>37786.033110852717</v>
      </c>
      <c r="D103" s="62">
        <f>$D$99-((($D$99-$D$104)/COUNT($B$99:$B$103))*(B103-$B$99))</f>
        <v>47379.09977751939</v>
      </c>
      <c r="E103" s="62">
        <f>$E$99-((($E$99-$E$104)/COUNT($B$99:$B$103))*(B103-$B$99))</f>
        <v>27316.699777519389</v>
      </c>
    </row>
    <row r="104" spans="2:5" x14ac:dyDescent="0.25">
      <c r="B104" s="61">
        <v>2035</v>
      </c>
      <c r="C104" s="62">
        <v>34671.866221705452</v>
      </c>
      <c r="D104" s="62">
        <v>46663.199555038787</v>
      </c>
      <c r="E104" s="62">
        <v>21585.199555038787</v>
      </c>
    </row>
    <row r="105" spans="2:5" ht="15.75" thickBot="1" x14ac:dyDescent="0.3">
      <c r="B105" s="30"/>
      <c r="C105" s="63">
        <f>SUM(C100:C104)</f>
        <v>204500.99999999994</v>
      </c>
      <c r="D105" s="63">
        <f>SUM(D100:D104)</f>
        <v>240474.99999999994</v>
      </c>
      <c r="E105" s="63">
        <f>SUM(E100:E104)</f>
        <v>165240.99999999994</v>
      </c>
    </row>
    <row r="106" spans="2:5" x14ac:dyDescent="0.25">
      <c r="B106" s="64" t="s">
        <v>116</v>
      </c>
      <c r="C106" s="65">
        <f>D42*1000</f>
        <v>204501.03648836748</v>
      </c>
      <c r="D106" s="65">
        <f>C42*1000</f>
        <v>240474.95851040672</v>
      </c>
      <c r="E106" s="65">
        <f>E42*1000</f>
        <v>165240.50121048649</v>
      </c>
    </row>
    <row r="107" spans="2:5" x14ac:dyDescent="0.25">
      <c r="B107" s="64" t="s">
        <v>116</v>
      </c>
      <c r="C107" s="66">
        <f>1-(C104/'NDC1'!$B$5)</f>
        <v>0.59284829837854736</v>
      </c>
      <c r="D107" s="66">
        <f>1-(D104/'NDC1'!$B$5)</f>
        <v>0.45203407914507909</v>
      </c>
      <c r="E107" s="66">
        <f>1-(E104/'NDC1'!$B$5)</f>
        <v>0.74652501620547684</v>
      </c>
    </row>
  </sheetData>
  <mergeCells count="18">
    <mergeCell ref="B47:E47"/>
    <mergeCell ref="G29:J29"/>
    <mergeCell ref="G38:J38"/>
    <mergeCell ref="G47:J47"/>
    <mergeCell ref="L29:O29"/>
    <mergeCell ref="F9:H9"/>
    <mergeCell ref="I9:K9"/>
    <mergeCell ref="L9:N9"/>
    <mergeCell ref="B29:E29"/>
    <mergeCell ref="B38:E38"/>
    <mergeCell ref="F4:H4"/>
    <mergeCell ref="I4:K4"/>
    <mergeCell ref="L4:N4"/>
    <mergeCell ref="O4:Q4"/>
    <mergeCell ref="F5:H5"/>
    <mergeCell ref="I5:K5"/>
    <mergeCell ref="L5:N5"/>
    <mergeCell ref="O5:Q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82BFC-B76F-4CF9-A474-218BCB3D89DE}">
  <dimension ref="A3:J6"/>
  <sheetViews>
    <sheetView zoomScale="115" zoomScaleNormal="115" workbookViewId="0">
      <selection activeCell="D17" sqref="D17"/>
    </sheetView>
  </sheetViews>
  <sheetFormatPr defaultRowHeight="15" x14ac:dyDescent="0.25"/>
  <cols>
    <col min="1" max="1" width="16" customWidth="1"/>
    <col min="2" max="8" width="13" customWidth="1"/>
    <col min="9" max="9" width="14.140625" customWidth="1"/>
    <col min="10" max="10" width="14.5703125" customWidth="1"/>
    <col min="24" max="24" width="9.85546875" bestFit="1" customWidth="1"/>
  </cols>
  <sheetData>
    <row r="3" spans="1:10" ht="77.099999999999994" customHeight="1" x14ac:dyDescent="0.25">
      <c r="A3" s="104"/>
      <c r="B3" s="105" t="s">
        <v>117</v>
      </c>
      <c r="C3" s="106" t="s">
        <v>118</v>
      </c>
      <c r="D3" s="104" t="s">
        <v>119</v>
      </c>
      <c r="E3" s="105" t="s">
        <v>120</v>
      </c>
      <c r="F3" s="106" t="s">
        <v>121</v>
      </c>
      <c r="G3" s="104" t="s">
        <v>122</v>
      </c>
      <c r="H3" s="105" t="s">
        <v>123</v>
      </c>
      <c r="I3" s="105" t="s">
        <v>124</v>
      </c>
      <c r="J3" s="105" t="s">
        <v>125</v>
      </c>
    </row>
    <row r="4" spans="1:10" x14ac:dyDescent="0.25">
      <c r="A4" s="104" t="s">
        <v>126</v>
      </c>
      <c r="B4" s="107">
        <f>SUM('Emissions data'!$I$43:$I$47)/1000</f>
        <v>278.48563911818133</v>
      </c>
      <c r="C4" s="107" cm="1">
        <f t="array" ref="C4">SUM('Emissions data'!$L$43:$L$47/1000)</f>
        <v>293.07403668287088</v>
      </c>
      <c r="D4" s="107" cm="1">
        <f t="array" ref="D4">SUM('Emissions data'!$O$43:$O$47/1000)</f>
        <v>260.30169497916756</v>
      </c>
      <c r="E4" s="107">
        <f>G4+I4</f>
        <v>297</v>
      </c>
      <c r="F4" s="107" t="s">
        <v>43</v>
      </c>
      <c r="G4" s="107">
        <v>305</v>
      </c>
      <c r="H4" s="107" t="s">
        <v>43</v>
      </c>
      <c r="I4" s="108">
        <v>-8</v>
      </c>
      <c r="J4" s="108"/>
    </row>
    <row r="5" spans="1:10" x14ac:dyDescent="0.25">
      <c r="A5" s="104" t="s">
        <v>127</v>
      </c>
      <c r="B5" s="107">
        <f>SUM('Emissions data'!$I$48:$I$52)/1000</f>
        <v>204.50103648836748</v>
      </c>
      <c r="C5" s="107" cm="1">
        <f t="array" ref="C5">SUM('Emissions data'!$L$48:$L$52/1000)</f>
        <v>240.47495851040671</v>
      </c>
      <c r="D5" s="107" cm="1">
        <f t="array" ref="D5">SUM('Emissions data'!$O$48:$O$52/1000)</f>
        <v>165.24050121048651</v>
      </c>
      <c r="E5" s="107" t="s">
        <v>43</v>
      </c>
      <c r="F5" s="107">
        <f>H5+J5</f>
        <v>233</v>
      </c>
      <c r="G5" s="107" t="s">
        <v>43</v>
      </c>
      <c r="H5" s="107">
        <v>240</v>
      </c>
      <c r="I5" s="108"/>
      <c r="J5" s="108">
        <v>-7</v>
      </c>
    </row>
    <row r="6" spans="1:10" x14ac:dyDescent="0.25">
      <c r="G6" s="7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Year xmlns="70761194-623b-4751-a0da-29ad6551f95e" xsi:nil="true"/>
    <_dlc_DocId xmlns="b0beda6f-4627-4a72-8e21-f7c551269ed5">ZRPJAS3TEE2M-210674821-79</_dlc_DocId>
    <_dlc_DocIdUrl xmlns="b0beda6f-4627-4a72-8e21-f7c551269ed5">
      <Url>https://climatechangegovt.sharepoint.com/sites/NDCAdvice2024/_layouts/15/DocIdRedir.aspx?ID=ZRPJAS3TEE2M-210674821-79</Url>
      <Description>ZRPJAS3TEE2M-210674821-79</Description>
    </_dlc_DocIdUrl>
    <LegacyMetadata xmlns="b30672e7-690a-4c93-a50a-a028bc8f475d" xsi:nil="true"/>
    <Channel xmlns="b30672e7-690a-4c93-a50a-a028bc8f475d" xsi:nil="true"/>
    <OTModifiedBy xmlns="b30672e7-690a-4c93-a50a-a028bc8f475d" xsi:nil="true"/>
    <Activity xmlns="70761194-623b-4751-a0da-29ad6551f95e">Advice</Activity>
    <Function xmlns="70761194-623b-4751-a0da-29ad6551f95e">Programmes and Projects</Function>
    <PraText1 xmlns="a9df0e0e-9b5b-47bc-81c1-d190dfb54f87" xsi:nil="true"/>
    <CategoryName xmlns="70761194-623b-4751-a0da-29ad6551f95e">NA</CategoryName>
    <CategoryValue xmlns="70761194-623b-4751-a0da-29ad6551f95e" xsi:nil="true"/>
    <AggregationStatus xmlns="a9df0e0e-9b5b-47bc-81c1-d190dfb54f87">Normal</AggregationStatus>
    <Narrative xmlns="a9df0e0e-9b5b-47bc-81c1-d190dfb54f87" xsi:nil="true"/>
    <PraText5 xmlns="a9df0e0e-9b5b-47bc-81c1-d190dfb54f87" xsi:nil="true"/>
    <PRAType xmlns="70761194-623b-4751-a0da-29ad6551f95e" xsi:nil="true"/>
    <PraDate3 xmlns="a9df0e0e-9b5b-47bc-81c1-d190dfb54f87" xsi:nil="true"/>
    <PraDateTrigger xmlns="a9df0e0e-9b5b-47bc-81c1-d190dfb54f87" xsi:nil="true"/>
    <Project xmlns="70761194-623b-4751-a0da-29ad6551f95e" xsi:nil="true"/>
    <PraText4 xmlns="a9df0e0e-9b5b-47bc-81c1-d190dfb54f87" xsi:nil="true"/>
    <Subactivity xmlns="70761194-623b-4751-a0da-29ad6551f95e">Analysis</Subactivity>
    <PraDateDisposal xmlns="a9df0e0e-9b5b-47bc-81c1-d190dfb54f87" xsi:nil="true"/>
    <PraDate2 xmlns="a9df0e0e-9b5b-47bc-81c1-d190dfb54f87" xsi:nil="true"/>
    <PraText3 xmlns="a9df0e0e-9b5b-47bc-81c1-d190dfb54f87" xsi:nil="true"/>
    <DocumentType xmlns="02bffcbe-7cf8-467d-a91b-a3e0dbcae01e" xsi:nil="true"/>
    <AggregationNarrative xmlns="70761194-623b-4751-a0da-29ad6551f95e" xsi:nil="true"/>
    <Case xmlns="70761194-623b-4751-a0da-29ad6551f95e">NDCDC Advice 2024</Case>
    <OTDocID xmlns="b30672e7-690a-4c93-a50a-a028bc8f475d" xsi:nil="true"/>
    <OTCreatedBy xmlns="b30672e7-690a-4c93-a50a-a028bc8f475d" xsi:nil="true"/>
    <PraDate1 xmlns="a9df0e0e-9b5b-47bc-81c1-d190dfb54f87" xsi:nil="true"/>
    <PraText2 xmlns="a9df0e0e-9b5b-47bc-81c1-d190dfb54f8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eDocument" ma:contentTypeID="0x0101005846863552B4C5419043C335CAC3AB96" ma:contentTypeVersion="74" ma:contentTypeDescription="Create a new document." ma:contentTypeScope="" ma:versionID="d2672cb7fc2f90d7db6313ae3e489d76">
  <xsd:schema xmlns:xsd="http://www.w3.org/2001/XMLSchema" xmlns:xs="http://www.w3.org/2001/XMLSchema" xmlns:p="http://schemas.microsoft.com/office/2006/metadata/properties" xmlns:ns2="b0beda6f-4627-4a72-8e21-f7c551269ed5" xmlns:ns3="02bffcbe-7cf8-467d-a91b-a3e0dbcae01e" xmlns:ns4="a9df0e0e-9b5b-47bc-81c1-d190dfb54f87" xmlns:ns5="b30672e7-690a-4c93-a50a-a028bc8f475d" xmlns:ns6="70761194-623b-4751-a0da-29ad6551f95e" xmlns:ns7="2eaa103f-0e6d-481c-b41a-1f9b848d70a4" targetNamespace="http://schemas.microsoft.com/office/2006/metadata/properties" ma:root="true" ma:fieldsID="61206f37421f4cfb7b8467812708314e" ns2:_="" ns3:_="" ns4:_="" ns5:_="" ns6:_="" ns7:_="">
    <xsd:import namespace="b0beda6f-4627-4a72-8e21-f7c551269ed5"/>
    <xsd:import namespace="02bffcbe-7cf8-467d-a91b-a3e0dbcae01e"/>
    <xsd:import namespace="a9df0e0e-9b5b-47bc-81c1-d190dfb54f87"/>
    <xsd:import namespace="b30672e7-690a-4c93-a50a-a028bc8f475d"/>
    <xsd:import namespace="70761194-623b-4751-a0da-29ad6551f95e"/>
    <xsd:import namespace="2eaa103f-0e6d-481c-b41a-1f9b848d70a4"/>
    <xsd:element name="properties">
      <xsd:complexType>
        <xsd:sequence>
          <xsd:element name="documentManagement">
            <xsd:complexType>
              <xsd:all>
                <xsd:element ref="ns2:_dlc_DocId" minOccurs="0"/>
                <xsd:element ref="ns2:_dlc_DocIdUrl" minOccurs="0"/>
                <xsd:element ref="ns2:_dlc_DocIdPersistId" minOccurs="0"/>
                <xsd:element ref="ns3:DocumentType" minOccurs="0"/>
                <xsd:element ref="ns4:Narrative" minOccurs="0"/>
                <xsd:element ref="ns5:OTDocID" minOccurs="0"/>
                <xsd:element ref="ns5:OTModifiedBy" minOccurs="0"/>
                <xsd:element ref="ns5:LegacyMetadata" minOccurs="0"/>
                <xsd:element ref="ns5:OTCreatedBy" minOccurs="0"/>
                <xsd:element ref="ns4:PraText3" minOccurs="0"/>
                <xsd:element ref="ns4:PraText4" minOccurs="0"/>
                <xsd:element ref="ns4:PraText5" minOccurs="0"/>
                <xsd:element ref="ns4:PraDate1" minOccurs="0"/>
                <xsd:element ref="ns4:PraDate2" minOccurs="0"/>
                <xsd:element ref="ns4:PraDate3" minOccurs="0"/>
                <xsd:element ref="ns4:PraDateTrigger" minOccurs="0"/>
                <xsd:element ref="ns4:PraDateDisposal" minOccurs="0"/>
                <xsd:element ref="ns6:Activity" minOccurs="0"/>
                <xsd:element ref="ns6:Function" minOccurs="0"/>
                <xsd:element ref="ns6:Subactivity" minOccurs="0"/>
                <xsd:element ref="ns6:Year" minOccurs="0"/>
                <xsd:element ref="ns6:Project" minOccurs="0"/>
                <xsd:element ref="ns6:AggregationNarrative" minOccurs="0"/>
                <xsd:element ref="ns6:Case" minOccurs="0"/>
                <xsd:element ref="ns6:CategoryName" minOccurs="0"/>
                <xsd:element ref="ns6:CategoryValue" minOccurs="0"/>
                <xsd:element ref="ns4:PraText1" minOccurs="0"/>
                <xsd:element ref="ns4:PraText2" minOccurs="0"/>
                <xsd:element ref="ns6:PRAType" minOccurs="0"/>
                <xsd:element ref="ns4:AggregationStatus" minOccurs="0"/>
                <xsd:element ref="ns5:Channel" minOccurs="0"/>
                <xsd:element ref="ns7:MediaServiceMetadata" minOccurs="0"/>
                <xsd:element ref="ns7:MediaServiceFastMetadata" minOccurs="0"/>
                <xsd:element ref="ns7:MediaServiceSearchProperties" minOccurs="0"/>
                <xsd:element ref="ns7:MediaServiceObjectDetectorVersions"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beda6f-4627-4a72-8e21-f7c551269ed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4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2bffcbe-7cf8-467d-a91b-a3e0dbcae01e" elementFormDefault="qualified">
    <xsd:import namespace="http://schemas.microsoft.com/office/2006/documentManagement/types"/>
    <xsd:import namespace="http://schemas.microsoft.com/office/infopath/2007/PartnerControls"/>
    <xsd:element name="DocumentType" ma:index="11" nillable="true" ma:displayName="Document Type" ma:description="Specify the document type to help refine search and to classify the document" ma:format="Dropdown" ma:internalName="DocumentType" ma:readOnly="false">
      <xsd:simpleType>
        <xsd:restriction base="dms:Choice">
          <xsd:enumeration value="APPLICATION, certificate, consent related"/>
          <xsd:enumeration value="CONTRACT, Variation, Agreement"/>
          <xsd:enumeration value="CORRESPONDENCE, Memo, Filenote, Email"/>
          <xsd:enumeration value="DRAWING, Plan, Map"/>
          <xsd:enumeration value="EMPLOYMENT related"/>
          <xsd:enumeration value="FINANCIAL related"/>
          <xsd:enumeration value="KNOWLEDGE article"/>
          <xsd:enumeration value="MEETING related"/>
          <xsd:enumeration value="MODEL, Calculation, Working"/>
          <xsd:enumeration value="PHOTO, Image or Multi-media"/>
          <xsd:enumeration value="PRESENTATION"/>
          <xsd:enumeration value="PUBLICATION material"/>
          <xsd:enumeration value="PURCHASING related"/>
          <xsd:enumeration value="REPORT, or planning related"/>
          <xsd:enumeration value="RULES, Policy, Bylaw, procedure"/>
          <xsd:enumeration value="SERVICE REQUEST related"/>
          <xsd:enumeration value="SPECIFICATION or standard"/>
          <xsd:enumeration value="SUPPLIER PRODUCT Info"/>
          <xsd:enumeration value="TEMPLATE, Checklist or Form"/>
        </xsd:restriction>
      </xsd:simpleType>
    </xsd:element>
  </xsd:schema>
  <xsd:schema xmlns:xsd="http://www.w3.org/2001/XMLSchema" xmlns:xs="http://www.w3.org/2001/XMLSchema" xmlns:dms="http://schemas.microsoft.com/office/2006/documentManagement/types" xmlns:pc="http://schemas.microsoft.com/office/infopath/2007/PartnerControls" targetNamespace="a9df0e0e-9b5b-47bc-81c1-d190dfb54f87" elementFormDefault="qualified">
    <xsd:import namespace="http://schemas.microsoft.com/office/2006/documentManagement/types"/>
    <xsd:import namespace="http://schemas.microsoft.com/office/infopath/2007/PartnerControls"/>
    <xsd:element name="Narrative" ma:index="12" nillable="true" ma:displayName="Narrative" ma:internalName="Narrative0" ma:readOnly="false">
      <xsd:simpleType>
        <xsd:restriction base="dms:Note">
          <xsd:maxLength value="255"/>
        </xsd:restriction>
      </xsd:simpleType>
    </xsd:element>
    <xsd:element name="PraText3" ma:index="17" nillable="true" ma:displayName="PRA Text 3" ma:hidden="true" ma:internalName="PraText30" ma:readOnly="false">
      <xsd:simpleType>
        <xsd:restriction base="dms:Text">
          <xsd:maxLength value="255"/>
        </xsd:restriction>
      </xsd:simpleType>
    </xsd:element>
    <xsd:element name="PraText4" ma:index="18" nillable="true" ma:displayName="PRA Text 4" ma:hidden="true" ma:internalName="PraText40" ma:readOnly="false">
      <xsd:simpleType>
        <xsd:restriction base="dms:Text">
          <xsd:maxLength value="255"/>
        </xsd:restriction>
      </xsd:simpleType>
    </xsd:element>
    <xsd:element name="PraText5" ma:index="19" nillable="true" ma:displayName="PRA Text 5" ma:hidden="true" ma:internalName="PraText50" ma:readOnly="false">
      <xsd:simpleType>
        <xsd:restriction base="dms:Text">
          <xsd:maxLength value="255"/>
        </xsd:restriction>
      </xsd:simpleType>
    </xsd:element>
    <xsd:element name="PraDate1" ma:index="20" nillable="true" ma:displayName="PRA Date 1" ma:format="DateTime" ma:hidden="true" ma:internalName="PraDate1" ma:readOnly="false">
      <xsd:simpleType>
        <xsd:restriction base="dms:DateTime"/>
      </xsd:simpleType>
    </xsd:element>
    <xsd:element name="PraDate2" ma:index="21" nillable="true" ma:displayName="PRA Date 2" ma:format="DateTime" ma:hidden="true" ma:internalName="PraDate2" ma:readOnly="false">
      <xsd:simpleType>
        <xsd:restriction base="dms:DateTime"/>
      </xsd:simpleType>
    </xsd:element>
    <xsd:element name="PraDate3" ma:index="22" nillable="true" ma:displayName="PRA Date 3" ma:format="DateTime" ma:hidden="true" ma:internalName="PraDate3" ma:readOnly="false">
      <xsd:simpleType>
        <xsd:restriction base="dms:DateTime"/>
      </xsd:simpleType>
    </xsd:element>
    <xsd:element name="PraDateTrigger" ma:index="23" nillable="true" ma:displayName="PRA Date Trigger" ma:format="DateTime" ma:hidden="true" ma:internalName="PraDateTrigger" ma:readOnly="false">
      <xsd:simpleType>
        <xsd:restriction base="dms:DateTime"/>
      </xsd:simpleType>
    </xsd:element>
    <xsd:element name="PraDateDisposal" ma:index="24" nillable="true" ma:displayName="PRA Date Disposal" ma:format="DateTime" ma:hidden="true" ma:internalName="PraDateDisposal0" ma:readOnly="false">
      <xsd:simpleType>
        <xsd:restriction base="dms:DateTime"/>
      </xsd:simpleType>
    </xsd:element>
    <xsd:element name="PraText1" ma:index="34" nillable="true" ma:displayName="PRA Text 1" ma:hidden="true" ma:internalName="PraText10" ma:readOnly="false">
      <xsd:simpleType>
        <xsd:restriction base="dms:Text">
          <xsd:maxLength value="255"/>
        </xsd:restriction>
      </xsd:simpleType>
    </xsd:element>
    <xsd:element name="PraText2" ma:index="35" nillable="true" ma:displayName="PRA Text 2" ma:hidden="true" ma:internalName="PraText20" ma:readOnly="false">
      <xsd:simpleType>
        <xsd:restriction base="dms:Text">
          <xsd:maxLength value="255"/>
        </xsd:restriction>
      </xsd:simpleType>
    </xsd:element>
    <xsd:element name="AggregationStatus" ma:index="37" nillable="true" ma:displayName="Aggregation Status" ma:default="Normal" ma:format="Dropdown" ma:hidden="true" ma:internalName="AggregationStatus0" ma:readOnly="false">
      <xsd:simpleType>
        <xsd:restriction base="dms:Choice">
          <xsd:enumeration value="Delete Soon"/>
          <xsd:enumeration value="Transfer Soon"/>
          <xsd:enumeration value="Appraise Soon"/>
          <xsd:enumeration value="Delete"/>
          <xsd:enumeration value="Transfer"/>
          <xsd:enumeration value="Appraise"/>
          <xsd:enumeration value="Hold"/>
          <xsd:enumeration value="Normal"/>
        </xsd:restriction>
      </xsd:simpleType>
    </xsd:element>
  </xsd:schema>
  <xsd:schema xmlns:xsd="http://www.w3.org/2001/XMLSchema" xmlns:xs="http://www.w3.org/2001/XMLSchema" xmlns:dms="http://schemas.microsoft.com/office/2006/documentManagement/types" xmlns:pc="http://schemas.microsoft.com/office/infopath/2007/PartnerControls" targetNamespace="b30672e7-690a-4c93-a50a-a028bc8f475d" elementFormDefault="qualified">
    <xsd:import namespace="http://schemas.microsoft.com/office/2006/documentManagement/types"/>
    <xsd:import namespace="http://schemas.microsoft.com/office/infopath/2007/PartnerControls"/>
    <xsd:element name="OTDocID" ma:index="13" nillable="true" ma:displayName="OTDocID" ma:internalName="OTDocID" ma:readOnly="false">
      <xsd:simpleType>
        <xsd:restriction base="dms:Text">
          <xsd:maxLength value="255"/>
        </xsd:restriction>
      </xsd:simpleType>
    </xsd:element>
    <xsd:element name="OTModifiedBy" ma:index="14" nillable="true" ma:displayName="OTModifiedBy" ma:internalName="OTModifiedBy" ma:readOnly="false">
      <xsd:simpleType>
        <xsd:restriction base="dms:Text">
          <xsd:maxLength value="255"/>
        </xsd:restriction>
      </xsd:simpleType>
    </xsd:element>
    <xsd:element name="LegacyMetadata" ma:index="15" nillable="true" ma:displayName="LegacyMetadata" ma:internalName="LegacyMetadata" ma:readOnly="false">
      <xsd:simpleType>
        <xsd:restriction base="dms:Note">
          <xsd:maxLength value="255"/>
        </xsd:restriction>
      </xsd:simpleType>
    </xsd:element>
    <xsd:element name="OTCreatedBy" ma:index="16" nillable="true" ma:displayName="OTCreatedBy" ma:internalName="OTCreatedBy" ma:readOnly="false">
      <xsd:simpleType>
        <xsd:restriction base="dms:Text">
          <xsd:maxLength value="255"/>
        </xsd:restriction>
      </xsd:simpleType>
    </xsd:element>
    <xsd:element name="Channel" ma:index="38" nillable="true" ma:displayName="Channel" ma:hidden="true" ma:internalName="Channel"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0761194-623b-4751-a0da-29ad6551f95e" elementFormDefault="qualified">
    <xsd:import namespace="http://schemas.microsoft.com/office/2006/documentManagement/types"/>
    <xsd:import namespace="http://schemas.microsoft.com/office/infopath/2007/PartnerControls"/>
    <xsd:element name="Activity" ma:index="25" nillable="true" ma:displayName="Activity" ma:default="Advice" ma:format="Dropdown" ma:hidden="true" ma:internalName="Activity" ma:readOnly="false">
      <xsd:simpleType>
        <xsd:union memberTypes="dms:Text">
          <xsd:simpleType>
            <xsd:restriction base="dms:Choice">
              <xsd:enumeration value="Advice"/>
            </xsd:restriction>
          </xsd:simpleType>
        </xsd:union>
      </xsd:simpleType>
    </xsd:element>
    <xsd:element name="Function" ma:index="26" nillable="true" ma:displayName="Function" ma:default="Programmes and Projects" ma:format="Dropdown" ma:hidden="true" ma:internalName="Function" ma:readOnly="false">
      <xsd:simpleType>
        <xsd:union memberTypes="dms:Text">
          <xsd:simpleType>
            <xsd:restriction base="dms:Choice">
              <xsd:enumeration value="Programmes and Projects"/>
            </xsd:restriction>
          </xsd:simpleType>
        </xsd:union>
      </xsd:simpleType>
    </xsd:element>
    <xsd:element name="Subactivity" ma:index="27" nillable="true" ma:displayName="Subactivity" ma:default="NA" ma:hidden="true" ma:internalName="Subactivity" ma:readOnly="false">
      <xsd:simpleType>
        <xsd:restriction base="dms:Text">
          <xsd:maxLength value="255"/>
        </xsd:restriction>
      </xsd:simpleType>
    </xsd:element>
    <xsd:element name="Year" ma:index="28" nillable="true" ma:displayName="Year" ma:format="Dropdown" ma:hidden="true" ma:internalName="Year" ma:readOnly="false">
      <xsd:simpleType>
        <xsd:restriction base="dms:Choice">
          <xsd:enumeration value="2019"/>
          <xsd:enumeration value="2020"/>
          <xsd:enumeration value="2021"/>
          <xsd:enumeration value="2022"/>
          <xsd:enumeration value="2023"/>
        </xsd:restriction>
      </xsd:simpleType>
    </xsd:element>
    <xsd:element name="Project" ma:index="29" nillable="true" ma:displayName="Project" ma:hidden="true" ma:internalName="Project" ma:readOnly="false">
      <xsd:simpleType>
        <xsd:restriction base="dms:Text">
          <xsd:maxLength value="255"/>
        </xsd:restriction>
      </xsd:simpleType>
    </xsd:element>
    <xsd:element name="AggregationNarrative" ma:index="30" nillable="true" ma:displayName="Aggregation Narrative" ma:hidden="true" ma:internalName="AggregationNarrative" ma:readOnly="false">
      <xsd:simpleType>
        <xsd:restriction base="dms:Text">
          <xsd:maxLength value="255"/>
        </xsd:restriction>
      </xsd:simpleType>
    </xsd:element>
    <xsd:element name="Case" ma:index="31" nillable="true" ma:displayName="Case" ma:default="NDCDC Advice 2024" ma:format="Dropdown" ma:hidden="true" ma:internalName="Case" ma:readOnly="false">
      <xsd:simpleType>
        <xsd:restriction base="dms:Choice">
          <xsd:enumeration value="NDCDC Advice 2024"/>
        </xsd:restriction>
      </xsd:simpleType>
    </xsd:element>
    <xsd:element name="CategoryName" ma:index="32" nillable="true" ma:displayName="Category" ma:default="NA" ma:hidden="true" ma:internalName="CategoryName" ma:readOnly="false">
      <xsd:simpleType>
        <xsd:restriction base="dms:Text">
          <xsd:maxLength value="255"/>
        </xsd:restriction>
      </xsd:simpleType>
    </xsd:element>
    <xsd:element name="CategoryValue" ma:index="33" nillable="true" ma:displayName="Category Value" ma:hidden="true" ma:internalName="CategoryValue" ma:readOnly="false">
      <xsd:simpleType>
        <xsd:restriction base="dms:Text">
          <xsd:maxLength value="255"/>
        </xsd:restriction>
      </xsd:simpleType>
    </xsd:element>
    <xsd:element name="PRAType" ma:index="36" nillable="true" ma:displayName="PRA Type" ma:hidden="true" ma:internalName="PRAType"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eaa103f-0e6d-481c-b41a-1f9b848d70a4" elementFormDefault="qualified">
    <xsd:import namespace="http://schemas.microsoft.com/office/2006/documentManagement/types"/>
    <xsd:import namespace="http://schemas.microsoft.com/office/infopath/2007/PartnerControls"/>
    <xsd:element name="MediaServiceMetadata" ma:index="39" nillable="true" ma:displayName="MediaServiceMetadata" ma:hidden="true" ma:internalName="MediaServiceMetadata" ma:readOnly="true">
      <xsd:simpleType>
        <xsd:restriction base="dms:Note"/>
      </xsd:simpleType>
    </xsd:element>
    <xsd:element name="MediaServiceFastMetadata" ma:index="40" nillable="true" ma:displayName="MediaServiceFastMetadata" ma:hidden="true" ma:internalName="MediaServiceFastMetadata" ma:readOnly="true">
      <xsd:simpleType>
        <xsd:restriction base="dms:Note"/>
      </xsd:simpleType>
    </xsd:element>
    <xsd:element name="MediaServiceSearchProperties" ma:index="41" nillable="true" ma:displayName="MediaServiceSearchProperties" ma:hidden="true" ma:internalName="MediaServiceSearchProperties" ma:readOnly="true">
      <xsd:simpleType>
        <xsd:restriction base="dms:Note"/>
      </xsd:simpleType>
    </xsd:element>
    <xsd:element name="MediaServiceObjectDetectorVersions" ma:index="4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556E8FA-B0B9-4055-9DC9-803278A92FEC}">
  <ds:schemaRefs>
    <ds:schemaRef ds:uri="http://schemas.microsoft.com/office/2006/metadata/properties"/>
    <ds:schemaRef ds:uri="http://schemas.microsoft.com/office/infopath/2007/PartnerControls"/>
    <ds:schemaRef ds:uri="70761194-623b-4751-a0da-29ad6551f95e"/>
    <ds:schemaRef ds:uri="b0beda6f-4627-4a72-8e21-f7c551269ed5"/>
    <ds:schemaRef ds:uri="b30672e7-690a-4c93-a50a-a028bc8f475d"/>
    <ds:schemaRef ds:uri="a9df0e0e-9b5b-47bc-81c1-d190dfb54f87"/>
    <ds:schemaRef ds:uri="02bffcbe-7cf8-467d-a91b-a3e0dbcae01e"/>
  </ds:schemaRefs>
</ds:datastoreItem>
</file>

<file path=customXml/itemProps2.xml><?xml version="1.0" encoding="utf-8"?>
<ds:datastoreItem xmlns:ds="http://schemas.openxmlformats.org/officeDocument/2006/customXml" ds:itemID="{2924FB96-0941-4836-AD17-5DB09CDBDD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beda6f-4627-4a72-8e21-f7c551269ed5"/>
    <ds:schemaRef ds:uri="02bffcbe-7cf8-467d-a91b-a3e0dbcae01e"/>
    <ds:schemaRef ds:uri="a9df0e0e-9b5b-47bc-81c1-d190dfb54f87"/>
    <ds:schemaRef ds:uri="b30672e7-690a-4c93-a50a-a028bc8f475d"/>
    <ds:schemaRef ds:uri="70761194-623b-4751-a0da-29ad6551f95e"/>
    <ds:schemaRef ds:uri="2eaa103f-0e6d-481c-b41a-1f9b848d70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51D04F7-7A0D-4843-8823-BC8DC1A384E8}">
  <ds:schemaRefs>
    <ds:schemaRef ds:uri="http://schemas.microsoft.com/sharepoint/events"/>
  </ds:schemaRefs>
</ds:datastoreItem>
</file>

<file path=customXml/itemProps4.xml><?xml version="1.0" encoding="utf-8"?>
<ds:datastoreItem xmlns:ds="http://schemas.openxmlformats.org/officeDocument/2006/customXml" ds:itemID="{718D8DEB-E4DC-467E-B18F-3CE126CC0E4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13</vt:i4>
      </vt:variant>
    </vt:vector>
  </HeadingPairs>
  <TitlesOfParts>
    <vt:vector size="18" baseType="lpstr">
      <vt:lpstr>Information</vt:lpstr>
      <vt:lpstr>Emissions data</vt:lpstr>
      <vt:lpstr>NDC1</vt:lpstr>
      <vt:lpstr>NDC2 presentation</vt:lpstr>
      <vt:lpstr>Domestic Emissions Budgets</vt:lpstr>
      <vt:lpstr>Gross_1990_updated</vt:lpstr>
      <vt:lpstr>Gross_2005_updated</vt:lpstr>
      <vt:lpstr>Net_2005_updated</vt:lpstr>
      <vt:lpstr>Net_2020_accounting</vt:lpstr>
      <vt:lpstr>Net_2020_accounting_EB4Demo</vt:lpstr>
      <vt:lpstr>Net_2020_accounting_HTHS</vt:lpstr>
      <vt:lpstr>Net_2020_accounting_LTLS</vt:lpstr>
      <vt:lpstr>Net_2030_accounting_EB4Demo</vt:lpstr>
      <vt:lpstr>Net_2030_accounting_HTHS</vt:lpstr>
      <vt:lpstr>Net_2030_accounting_LTLS</vt:lpstr>
      <vt:lpstr>Net_2035_accounting_EB4Demo</vt:lpstr>
      <vt:lpstr>Net_2035_accounting_HTHS</vt:lpstr>
      <vt:lpstr>Net_2035_accounting_LTLS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ReisingerA</dc:creator>
  <cp:keywords/>
  <dc:description/>
  <cp:lastModifiedBy>Hans Landon-Lane</cp:lastModifiedBy>
  <cp:revision/>
  <dcterms:created xsi:type="dcterms:W3CDTF">2021-11-01T01:10:07Z</dcterms:created>
  <dcterms:modified xsi:type="dcterms:W3CDTF">2024-10-28T23:19:43Z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2dda6cc-d61d-4fd2-bf18-9b3017d931cc_Enabled">
    <vt:lpwstr>true</vt:lpwstr>
  </property>
  <property fmtid="{D5CDD505-2E9C-101B-9397-08002B2CF9AE}" pid="3" name="MSIP_Label_52dda6cc-d61d-4fd2-bf18-9b3017d931cc_SetDate">
    <vt:lpwstr>2021-11-01T01:19:26Z</vt:lpwstr>
  </property>
  <property fmtid="{D5CDD505-2E9C-101B-9397-08002B2CF9AE}" pid="4" name="MSIP_Label_52dda6cc-d61d-4fd2-bf18-9b3017d931cc_Method">
    <vt:lpwstr>Privileged</vt:lpwstr>
  </property>
  <property fmtid="{D5CDD505-2E9C-101B-9397-08002B2CF9AE}" pid="5" name="MSIP_Label_52dda6cc-d61d-4fd2-bf18-9b3017d931cc_Name">
    <vt:lpwstr>[UNCLASSIFIED]</vt:lpwstr>
  </property>
  <property fmtid="{D5CDD505-2E9C-101B-9397-08002B2CF9AE}" pid="6" name="MSIP_Label_52dda6cc-d61d-4fd2-bf18-9b3017d931cc_SiteId">
    <vt:lpwstr>761dd003-d4ff-4049-8a72-8549b20fcbb1</vt:lpwstr>
  </property>
  <property fmtid="{D5CDD505-2E9C-101B-9397-08002B2CF9AE}" pid="7" name="MSIP_Label_52dda6cc-d61d-4fd2-bf18-9b3017d931cc_ActionId">
    <vt:lpwstr>d70b0184-ae02-43c5-9c2c-bf38b71ec2fb</vt:lpwstr>
  </property>
  <property fmtid="{D5CDD505-2E9C-101B-9397-08002B2CF9AE}" pid="8" name="MSIP_Label_52dda6cc-d61d-4fd2-bf18-9b3017d931cc_ContentBits">
    <vt:lpwstr>0</vt:lpwstr>
  </property>
  <property fmtid="{D5CDD505-2E9C-101B-9397-08002B2CF9AE}" pid="9" name="ContentTypeId">
    <vt:lpwstr>0x0101005846863552B4C5419043C335CAC3AB96</vt:lpwstr>
  </property>
  <property fmtid="{D5CDD505-2E9C-101B-9397-08002B2CF9AE}" pid="10" name="_dlc_DocIdItemGuid">
    <vt:lpwstr>ef3ebaf4-7463-4ae2-9b7f-e15e90f669cb</vt:lpwstr>
  </property>
</Properties>
</file>